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576" windowHeight="8148" activeTab="5"/>
  </bookViews>
  <sheets>
    <sheet name="19.05" sheetId="5" r:id="rId1"/>
    <sheet name="20.05" sheetId="2" r:id="rId2"/>
    <sheet name="21.05" sheetId="3" r:id="rId3"/>
    <sheet name="25.05" sheetId="7" r:id="rId4"/>
    <sheet name="26.05" sheetId="8" r:id="rId5"/>
    <sheet name="27.05" sheetId="9" r:id="rId6"/>
  </sheets>
  <calcPr calcId="145621"/>
</workbook>
</file>

<file path=xl/calcChain.xml><?xml version="1.0" encoding="utf-8"?>
<calcChain xmlns="http://schemas.openxmlformats.org/spreadsheetml/2006/main">
  <c r="J39" i="9" l="1"/>
  <c r="I39" i="9"/>
  <c r="H39" i="9"/>
  <c r="J38" i="9"/>
  <c r="I38" i="9"/>
  <c r="H38" i="9"/>
  <c r="J36" i="9"/>
  <c r="I36" i="9"/>
  <c r="H36" i="9"/>
  <c r="J34" i="9"/>
  <c r="I34" i="9"/>
  <c r="H34" i="9"/>
  <c r="J31" i="9"/>
  <c r="I31" i="9"/>
  <c r="H31" i="9"/>
  <c r="J30" i="9"/>
  <c r="I30" i="9"/>
  <c r="H30" i="9"/>
  <c r="J28" i="9"/>
  <c r="I28" i="9"/>
  <c r="H28" i="9"/>
  <c r="J27" i="9"/>
  <c r="I27" i="9"/>
  <c r="H27" i="9"/>
  <c r="J25" i="9"/>
  <c r="I25" i="9"/>
  <c r="H25" i="9"/>
  <c r="J24" i="9"/>
  <c r="I24" i="9"/>
  <c r="H24" i="9"/>
  <c r="J21" i="9"/>
  <c r="I21" i="9"/>
  <c r="H21" i="9"/>
  <c r="J20" i="9"/>
  <c r="I20" i="9"/>
  <c r="H20" i="9"/>
  <c r="J18" i="9"/>
  <c r="I18" i="9"/>
  <c r="H18" i="9"/>
  <c r="G18" i="9"/>
  <c r="J16" i="9"/>
  <c r="I16" i="9"/>
  <c r="H16" i="9"/>
  <c r="J14" i="9"/>
  <c r="I14" i="9"/>
  <c r="H14" i="9"/>
  <c r="J13" i="9"/>
  <c r="I13" i="9"/>
  <c r="H13" i="9"/>
  <c r="J12" i="9"/>
  <c r="I12" i="9"/>
  <c r="H12" i="9"/>
  <c r="J10" i="9"/>
  <c r="I10" i="9"/>
  <c r="H10" i="9"/>
  <c r="J9" i="9"/>
  <c r="I9" i="9"/>
  <c r="H9" i="9"/>
  <c r="J7" i="9"/>
  <c r="I7" i="9"/>
  <c r="H7" i="9"/>
  <c r="J6" i="9"/>
  <c r="I6" i="9"/>
  <c r="H6" i="9"/>
  <c r="J4" i="9"/>
  <c r="I4" i="9"/>
  <c r="H4" i="9"/>
  <c r="J33" i="8" l="1"/>
  <c r="I33" i="8"/>
  <c r="H33" i="8"/>
  <c r="G33" i="8"/>
  <c r="J32" i="8"/>
  <c r="I32" i="8"/>
  <c r="H32" i="8"/>
  <c r="G32" i="8"/>
  <c r="J29" i="8"/>
  <c r="I29" i="8"/>
  <c r="H29" i="8"/>
  <c r="J27" i="8"/>
  <c r="I27" i="8"/>
  <c r="H27" i="8"/>
  <c r="J26" i="8"/>
  <c r="I26" i="8"/>
  <c r="H26" i="8"/>
  <c r="J24" i="8"/>
  <c r="I24" i="8"/>
  <c r="H24" i="8"/>
  <c r="J23" i="8"/>
  <c r="I23" i="8"/>
  <c r="H23" i="8"/>
  <c r="J22" i="8"/>
  <c r="I22" i="8"/>
  <c r="H22" i="8"/>
  <c r="J21" i="8"/>
  <c r="I21" i="8"/>
  <c r="H21" i="8"/>
  <c r="J18" i="8"/>
  <c r="I18" i="8"/>
  <c r="H18" i="8"/>
  <c r="G18" i="8"/>
  <c r="J17" i="8"/>
  <c r="I17" i="8"/>
  <c r="H17" i="8"/>
  <c r="G17" i="8"/>
  <c r="J15" i="8"/>
  <c r="I15" i="8"/>
  <c r="H15" i="8"/>
  <c r="J11" i="8"/>
  <c r="I11" i="8"/>
  <c r="H11" i="8"/>
  <c r="G11" i="8"/>
  <c r="J9" i="8"/>
  <c r="I9" i="8"/>
  <c r="H9" i="8"/>
  <c r="J8" i="8"/>
  <c r="I8" i="8"/>
  <c r="H8" i="8"/>
  <c r="J7" i="8"/>
  <c r="I7" i="8"/>
  <c r="H7" i="8"/>
  <c r="J6" i="8"/>
  <c r="I6" i="8"/>
  <c r="H6" i="8"/>
  <c r="J35" i="7" l="1"/>
  <c r="I35" i="7"/>
  <c r="H35" i="7"/>
  <c r="J34" i="7"/>
  <c r="I34" i="7"/>
  <c r="H34" i="7"/>
  <c r="J32" i="7"/>
  <c r="I32" i="7"/>
  <c r="H32" i="7"/>
  <c r="J31" i="7"/>
  <c r="I31" i="7"/>
  <c r="H31" i="7"/>
  <c r="J29" i="7"/>
  <c r="I29" i="7"/>
  <c r="H29" i="7"/>
  <c r="J28" i="7"/>
  <c r="I28" i="7"/>
  <c r="H28" i="7"/>
  <c r="J26" i="7"/>
  <c r="I26" i="7"/>
  <c r="H26" i="7"/>
  <c r="J25" i="7"/>
  <c r="I25" i="7"/>
  <c r="H25" i="7"/>
  <c r="J24" i="7"/>
  <c r="I24" i="7"/>
  <c r="H24" i="7"/>
  <c r="J23" i="7"/>
  <c r="I23" i="7"/>
  <c r="H23" i="7"/>
  <c r="J22" i="7"/>
  <c r="I22" i="7"/>
  <c r="H22" i="7"/>
  <c r="J20" i="7"/>
  <c r="I20" i="7"/>
  <c r="H20" i="7"/>
  <c r="J13" i="7"/>
  <c r="I13" i="7"/>
  <c r="H13" i="7"/>
  <c r="J12" i="7"/>
  <c r="I12" i="7"/>
  <c r="H12" i="7"/>
  <c r="J10" i="7"/>
  <c r="I10" i="7"/>
  <c r="H10" i="7"/>
  <c r="J8" i="7"/>
  <c r="I8" i="7"/>
  <c r="H8" i="7"/>
  <c r="J7" i="7"/>
  <c r="I7" i="7"/>
  <c r="H7" i="7"/>
  <c r="J6" i="7"/>
  <c r="I6" i="7"/>
  <c r="H6" i="7"/>
  <c r="J4" i="7"/>
  <c r="I4" i="7"/>
  <c r="H4" i="7"/>
  <c r="J22" i="2" l="1"/>
  <c r="J21" i="2"/>
  <c r="I22" i="2"/>
  <c r="I21" i="2"/>
  <c r="H22" i="2"/>
  <c r="H21" i="2"/>
  <c r="J23" i="2"/>
  <c r="I23" i="2"/>
  <c r="H23" i="2"/>
  <c r="J7" i="2"/>
  <c r="I7" i="2"/>
  <c r="H7" i="2"/>
  <c r="J6" i="2"/>
  <c r="I6" i="2"/>
  <c r="H6" i="2"/>
  <c r="J8" i="2"/>
  <c r="I8" i="2"/>
  <c r="H8" i="2"/>
  <c r="J39" i="5" l="1"/>
  <c r="I39" i="5"/>
  <c r="H39" i="5"/>
  <c r="J38" i="5"/>
  <c r="I38" i="5"/>
  <c r="H38" i="5"/>
  <c r="J36" i="5"/>
  <c r="I36" i="5"/>
  <c r="H36" i="5"/>
  <c r="J34" i="5"/>
  <c r="I34" i="5"/>
  <c r="H34" i="5"/>
  <c r="J31" i="5"/>
  <c r="I31" i="5"/>
  <c r="H31" i="5"/>
  <c r="J30" i="5"/>
  <c r="I30" i="5"/>
  <c r="H30" i="5"/>
  <c r="J28" i="5"/>
  <c r="I28" i="5"/>
  <c r="H28" i="5"/>
  <c r="J27" i="5"/>
  <c r="I27" i="5"/>
  <c r="H27" i="5"/>
  <c r="J25" i="5"/>
  <c r="I25" i="5"/>
  <c r="H25" i="5"/>
  <c r="J24" i="5"/>
  <c r="I24" i="5"/>
  <c r="H24" i="5"/>
  <c r="J21" i="5"/>
  <c r="I21" i="5"/>
  <c r="H21" i="5"/>
  <c r="J20" i="5"/>
  <c r="I20" i="5"/>
  <c r="H20" i="5"/>
  <c r="J18" i="5"/>
  <c r="I18" i="5"/>
  <c r="H18" i="5"/>
  <c r="G18" i="5"/>
  <c r="J16" i="5"/>
  <c r="I16" i="5"/>
  <c r="H16" i="5"/>
  <c r="J14" i="5"/>
  <c r="I14" i="5"/>
  <c r="H14" i="5"/>
  <c r="J13" i="5"/>
  <c r="I13" i="5"/>
  <c r="H13" i="5"/>
  <c r="J12" i="5"/>
  <c r="I12" i="5"/>
  <c r="H12" i="5"/>
  <c r="J10" i="5"/>
  <c r="I10" i="5"/>
  <c r="H10" i="5"/>
  <c r="J9" i="5"/>
  <c r="I9" i="5"/>
  <c r="H9" i="5"/>
  <c r="J7" i="5"/>
  <c r="I7" i="5"/>
  <c r="H7" i="5"/>
  <c r="J6" i="5"/>
  <c r="I6" i="5"/>
  <c r="H6" i="5"/>
  <c r="J4" i="5"/>
  <c r="I4" i="5"/>
  <c r="H4" i="5"/>
  <c r="H4" i="3"/>
  <c r="I4" i="3"/>
  <c r="J4" i="3"/>
  <c r="H6" i="3"/>
  <c r="I6" i="3"/>
  <c r="J6" i="3"/>
  <c r="H7" i="3"/>
  <c r="I7" i="3"/>
  <c r="J7" i="3"/>
  <c r="H8" i="3"/>
  <c r="I8" i="3"/>
  <c r="J8" i="3"/>
  <c r="H11" i="3"/>
  <c r="I11" i="3"/>
  <c r="J11" i="3"/>
  <c r="H12" i="3"/>
  <c r="I12" i="3"/>
  <c r="J12" i="3"/>
  <c r="H14" i="3"/>
  <c r="I14" i="3"/>
  <c r="J14" i="3"/>
  <c r="H16" i="3"/>
  <c r="I16" i="3"/>
  <c r="J16" i="3"/>
  <c r="H17" i="3"/>
  <c r="I17" i="3"/>
  <c r="J17" i="3"/>
  <c r="H18" i="3"/>
  <c r="I18" i="3"/>
  <c r="J18" i="3"/>
  <c r="G20" i="3"/>
  <c r="H20" i="3"/>
  <c r="I20" i="3"/>
  <c r="J20" i="3"/>
  <c r="G21" i="3"/>
  <c r="H21" i="3"/>
  <c r="I21" i="3"/>
  <c r="J21" i="3"/>
  <c r="H22" i="3"/>
  <c r="I22" i="3"/>
  <c r="J22" i="3"/>
  <c r="H25" i="3"/>
  <c r="I25" i="3"/>
  <c r="J25" i="3"/>
  <c r="G26" i="3"/>
  <c r="H26" i="3"/>
  <c r="I26" i="3"/>
  <c r="J26" i="3"/>
  <c r="E28" i="3"/>
  <c r="H28" i="3"/>
  <c r="I28" i="3"/>
  <c r="J28" i="3"/>
  <c r="H30" i="3"/>
  <c r="I30" i="3"/>
  <c r="J30" i="3"/>
  <c r="H31" i="3"/>
  <c r="I31" i="3"/>
  <c r="J31" i="3"/>
  <c r="J26" i="2"/>
  <c r="I26" i="2"/>
  <c r="H26" i="2"/>
  <c r="G26" i="2"/>
  <c r="J25" i="2"/>
  <c r="I25" i="2"/>
  <c r="H25" i="2"/>
  <c r="G25" i="2"/>
  <c r="J11" i="2" l="1"/>
  <c r="I11" i="2"/>
  <c r="H11" i="2"/>
  <c r="G11" i="2"/>
  <c r="J10" i="2"/>
  <c r="I10" i="2"/>
  <c r="H10" i="2"/>
  <c r="G10" i="2"/>
  <c r="J33" i="2" l="1"/>
  <c r="I33" i="2"/>
  <c r="H33" i="2"/>
  <c r="J32" i="2"/>
  <c r="I32" i="2"/>
  <c r="H32" i="2"/>
  <c r="J29" i="2"/>
  <c r="I29" i="2"/>
  <c r="H29" i="2"/>
  <c r="J27" i="2"/>
  <c r="I27" i="2"/>
  <c r="H27" i="2"/>
  <c r="G27" i="2"/>
  <c r="J18" i="2" l="1"/>
  <c r="J17" i="2"/>
  <c r="I17" i="2"/>
  <c r="I18" i="2"/>
  <c r="H18" i="2"/>
  <c r="H17" i="2"/>
  <c r="J15" i="2"/>
  <c r="I15" i="2"/>
  <c r="H15" i="2"/>
  <c r="I12" i="2"/>
  <c r="H12" i="2"/>
  <c r="G12" i="2"/>
  <c r="J4" i="2"/>
  <c r="I4" i="2"/>
  <c r="H4" i="2"/>
  <c r="J12" i="2" l="1"/>
</calcChain>
</file>

<file path=xl/sharedStrings.xml><?xml version="1.0" encoding="utf-8"?>
<sst xmlns="http://schemas.openxmlformats.org/spreadsheetml/2006/main" count="542" uniqueCount="87">
  <si>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</si>
  <si>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</si>
  <si>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</si>
  <si>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</si>
  <si>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</si>
  <si>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</si>
  <si>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</si>
  <si>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</si>
  <si>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</si>
  <si>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</si>
  <si>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</si>
  <si>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</si>
  <si>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</si>
  <si>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</si>
  <si>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</si>
  <si>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</si>
  <si>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</si>
  <si>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</si>
  <si>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</si>
  <si>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</si>
  <si>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</si>
  <si>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</si>
  <si>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</si>
  <si>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</si>
  <si>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гп</t>
  </si>
  <si>
    <t>Хлеб ржаной</t>
  </si>
  <si>
    <t>добавка</t>
  </si>
  <si>
    <t>Масло сливочное (порциями)</t>
  </si>
  <si>
    <t>Сыр (порциями)</t>
  </si>
  <si>
    <t>Икра морковная</t>
  </si>
  <si>
    <t>напиток</t>
  </si>
  <si>
    <t>Хлеб пшеничный</t>
  </si>
  <si>
    <t>Плов из отварной говядины</t>
  </si>
  <si>
    <t xml:space="preserve">Чай с молоком  </t>
  </si>
  <si>
    <t xml:space="preserve">Пряник </t>
  </si>
  <si>
    <t>Морская капуста</t>
  </si>
  <si>
    <t>Щи из свежей капусты с картофелем, со сметаной, с туш.говядиной</t>
  </si>
  <si>
    <t>Котлета из мяса говядины</t>
  </si>
  <si>
    <t>Пюре картофельное</t>
  </si>
  <si>
    <t>Напиток из шиповника</t>
  </si>
  <si>
    <t>Макаронник с мясом</t>
  </si>
  <si>
    <t>Чай с сахаром</t>
  </si>
  <si>
    <t>Кукуруза отварная</t>
  </si>
  <si>
    <t>Печенье Творожное</t>
  </si>
  <si>
    <t>Огурец соленый</t>
  </si>
  <si>
    <t>Борщ из свежей капусты с картофелем, со сметаной</t>
  </si>
  <si>
    <t>Рагу из овощей с мясом</t>
  </si>
  <si>
    <t>Сок</t>
  </si>
  <si>
    <t>6-10 лет</t>
  </si>
  <si>
    <t>11-18 лет</t>
  </si>
  <si>
    <t>Полдник</t>
  </si>
  <si>
    <t>Молоко кипяченое</t>
  </si>
  <si>
    <t>Булочка Дорожная</t>
  </si>
  <si>
    <t>Кисломолочный продукт Кефир</t>
  </si>
  <si>
    <t>Шанежка с картофелем</t>
  </si>
  <si>
    <t>Омлет натуральный</t>
  </si>
  <si>
    <t>Чай с лимоном</t>
  </si>
  <si>
    <t>Батон</t>
  </si>
  <si>
    <t>Вафли</t>
  </si>
  <si>
    <t>Чай с молоком сгущеным</t>
  </si>
  <si>
    <t>Лепешка с сыром</t>
  </si>
  <si>
    <t>Конфета</t>
  </si>
  <si>
    <t>Суп с рыбными консервами</t>
  </si>
  <si>
    <t>Котлета из мяса птицы</t>
  </si>
  <si>
    <t>Соус сметанный</t>
  </si>
  <si>
    <t>Каша гречневая рассыпчатая</t>
  </si>
  <si>
    <t>Компот из сухофруктов</t>
  </si>
  <si>
    <t>11 -18 лет</t>
  </si>
  <si>
    <t>Печенье</t>
  </si>
  <si>
    <t>МБОУ Каменноярская ООШ</t>
  </si>
  <si>
    <t>Мак.изделия отварные с сыром</t>
  </si>
  <si>
    <t>Чай с молоком</t>
  </si>
  <si>
    <t>Икра кабачковая пром.производства</t>
  </si>
  <si>
    <t>Конфета "35"</t>
  </si>
  <si>
    <t>Пицца школьная</t>
  </si>
  <si>
    <t>Горошек зеленый отварной</t>
  </si>
  <si>
    <t>49,50</t>
  </si>
  <si>
    <t>Суп картофельный с мясными фрикадельками</t>
  </si>
  <si>
    <t>Рыба, тушеная в соусе с томатом</t>
  </si>
  <si>
    <t>Рис, припущенный с томатом</t>
  </si>
  <si>
    <t>Напиток из плодов шиповника</t>
  </si>
  <si>
    <t>Плов из мяса птицы</t>
  </si>
  <si>
    <t>Вафли Яшкино</t>
  </si>
  <si>
    <t>Кисломолочный продукт Снежок</t>
  </si>
  <si>
    <t xml:space="preserve">Кукуруза консервированная отварная </t>
  </si>
  <si>
    <t>Борщ с капустой и картофелем, со сметаной</t>
  </si>
  <si>
    <t>Рыба, тушеная в томате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</si>
</sst>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0" xfId="0" applyBorder="1"/>
    <xf numFmtId="0" fontId="0" fillId="0" borderId="0" xfId="0"/>
    <xf numFmtId="0" fontId="0" fillId="2" borderId="1" xfId="0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5" xfId="0" applyFill="1" applyBorder="1"/>
    <xf numFmtId="0" fontId="0" fillId="0" borderId="0" xfId="0" applyBorder="1"/>
    <xf numFmtId="0" fontId="0" fillId="0" borderId="18" xfId="0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0" borderId="0" xfId="0" applyNumberFormat="1"/>
    <xf numFmtId="0" fontId="0" fillId="0" borderId="0" xfId="0" applyFill="1"/>
    <xf numFmtId="2" fontId="0" fillId="0" borderId="0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4.4" x14ac:dyDescent="0.3"/>
  <cols>
    <col min="1" max="1" width="12.109375" style="28" customWidth="1"/>
    <col min="2" max="2" width="11.5546875" style="28" customWidth="1"/>
    <col min="3" max="3" width="8" style="28" customWidth="1"/>
    <col min="4" max="4" width="41.5546875" style="28" customWidth="1"/>
    <col min="5" max="5" width="10.109375" style="28" customWidth="1"/>
    <col min="6" max="6" width="8.88671875" style="28"/>
    <col min="7" max="7" width="13.44140625" style="28" customWidth="1"/>
    <col min="8" max="8" width="7.6640625" style="28" customWidth="1"/>
    <col min="9" max="9" width="7.88671875" style="28" customWidth="1"/>
    <col min="10" max="10" width="10.44140625" style="28" customWidth="1"/>
    <col min="11" max="16384" width="8.88671875" style="28"/>
  </cols>
  <sheetData>
    <row r="1" spans="1:10" x14ac:dyDescent="0.3">
      <c r="A1" s="28" t="s">
        <v>0</v>
      </c>
      <c r="B1" s="69" t="s">
        <v>69</v>
      </c>
      <c r="C1" s="70"/>
      <c r="D1" s="71"/>
      <c r="E1" s="28" t="s">
        <v>19</v>
      </c>
      <c r="F1" s="12"/>
      <c r="I1" s="28" t="s">
        <v>1</v>
      </c>
      <c r="J1" s="11">
        <v>44336</v>
      </c>
    </row>
    <row r="2" spans="1:10" ht="15" thickBot="1" x14ac:dyDescent="0.35"/>
    <row r="3" spans="1:10" ht="15" thickBot="1" x14ac:dyDescent="0.35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38" t="s">
        <v>10</v>
      </c>
      <c r="B4" s="39" t="s">
        <v>11</v>
      </c>
      <c r="C4" s="51">
        <v>18</v>
      </c>
      <c r="D4" s="48" t="s">
        <v>55</v>
      </c>
      <c r="E4" s="42">
        <v>200</v>
      </c>
      <c r="F4" s="45">
        <v>24.49</v>
      </c>
      <c r="G4" s="45">
        <v>314.33</v>
      </c>
      <c r="H4" s="45">
        <f>13.06*165/200</f>
        <v>10.7745</v>
      </c>
      <c r="I4" s="45">
        <f>18.57*165/200</f>
        <v>15.320250000000001</v>
      </c>
      <c r="J4" s="54">
        <f>36.51*165/200</f>
        <v>30.120749999999997</v>
      </c>
    </row>
    <row r="5" spans="1:10" x14ac:dyDescent="0.3">
      <c r="A5" s="40" t="s">
        <v>48</v>
      </c>
      <c r="B5" s="37" t="s">
        <v>12</v>
      </c>
      <c r="C5" s="52">
        <v>30</v>
      </c>
      <c r="D5" s="49" t="s">
        <v>56</v>
      </c>
      <c r="E5" s="43">
        <v>200</v>
      </c>
      <c r="F5" s="46">
        <v>2.91</v>
      </c>
      <c r="G5" s="46">
        <v>65</v>
      </c>
      <c r="H5" s="46">
        <v>0.2</v>
      </c>
      <c r="I5" s="46">
        <v>0</v>
      </c>
      <c r="J5" s="55">
        <v>16</v>
      </c>
    </row>
    <row r="6" spans="1:10" x14ac:dyDescent="0.3">
      <c r="A6" s="40"/>
      <c r="B6" s="37" t="s">
        <v>20</v>
      </c>
      <c r="C6" s="52" t="s">
        <v>24</v>
      </c>
      <c r="D6" s="49" t="s">
        <v>25</v>
      </c>
      <c r="E6" s="43">
        <v>23</v>
      </c>
      <c r="F6" s="46">
        <v>0.95</v>
      </c>
      <c r="G6" s="46">
        <v>46</v>
      </c>
      <c r="H6" s="46">
        <f>0.98*23/20</f>
        <v>1.127</v>
      </c>
      <c r="I6" s="46">
        <f>0.2*23/20</f>
        <v>0.23000000000000004</v>
      </c>
      <c r="J6" s="55">
        <f>8.95*23/20</f>
        <v>10.2925</v>
      </c>
    </row>
    <row r="7" spans="1:10" x14ac:dyDescent="0.3">
      <c r="A7" s="40"/>
      <c r="B7" s="29"/>
      <c r="C7" s="52" t="s">
        <v>24</v>
      </c>
      <c r="D7" s="49" t="s">
        <v>57</v>
      </c>
      <c r="E7" s="43">
        <v>24</v>
      </c>
      <c r="F7" s="46">
        <v>1.82</v>
      </c>
      <c r="G7" s="46">
        <v>49.92</v>
      </c>
      <c r="H7" s="46">
        <f>1.6*24/20</f>
        <v>1.9200000000000004</v>
      </c>
      <c r="I7" s="46">
        <f>0.03*24/20</f>
        <v>3.5999999999999997E-2</v>
      </c>
      <c r="J7" s="55">
        <f>8.02*24/20</f>
        <v>9.6239999999999988</v>
      </c>
    </row>
    <row r="8" spans="1:10" x14ac:dyDescent="0.3">
      <c r="A8" s="40"/>
      <c r="B8" s="30" t="s">
        <v>26</v>
      </c>
      <c r="C8" s="34">
        <v>3</v>
      </c>
      <c r="D8" s="33" t="s">
        <v>27</v>
      </c>
      <c r="E8" s="31">
        <v>10</v>
      </c>
      <c r="F8" s="32">
        <v>7.04</v>
      </c>
      <c r="G8" s="32">
        <v>64.72</v>
      </c>
      <c r="H8" s="32">
        <v>0.08</v>
      </c>
      <c r="I8" s="32">
        <v>7.15</v>
      </c>
      <c r="J8" s="35">
        <v>0.12</v>
      </c>
    </row>
    <row r="9" spans="1:10" x14ac:dyDescent="0.3">
      <c r="A9" s="58"/>
      <c r="B9" s="29"/>
      <c r="C9" s="52">
        <v>6</v>
      </c>
      <c r="D9" s="49" t="s">
        <v>28</v>
      </c>
      <c r="E9" s="43">
        <v>12</v>
      </c>
      <c r="F9" s="46">
        <v>7.3</v>
      </c>
      <c r="G9" s="46">
        <v>36</v>
      </c>
      <c r="H9" s="46">
        <f>1.36*12/12</f>
        <v>1.36</v>
      </c>
      <c r="I9" s="46">
        <f>2.76*12/12</f>
        <v>2.76</v>
      </c>
      <c r="J9" s="46">
        <f>0.31*12/12</f>
        <v>0.31</v>
      </c>
    </row>
    <row r="10" spans="1:10" ht="15" thickBot="1" x14ac:dyDescent="0.35">
      <c r="A10" s="40"/>
      <c r="B10" s="29"/>
      <c r="C10" s="52" t="s">
        <v>24</v>
      </c>
      <c r="D10" s="49" t="s">
        <v>58</v>
      </c>
      <c r="E10" s="43">
        <v>20</v>
      </c>
      <c r="F10" s="46">
        <v>4.09</v>
      </c>
      <c r="G10" s="46">
        <v>63.56</v>
      </c>
      <c r="H10" s="46">
        <f>2.14*20/40</f>
        <v>1.07</v>
      </c>
      <c r="I10" s="46">
        <f>2.8*20/40</f>
        <v>1.4</v>
      </c>
      <c r="J10" s="46">
        <f>23.34*20/40</f>
        <v>11.67</v>
      </c>
    </row>
    <row r="11" spans="1:10" x14ac:dyDescent="0.3">
      <c r="A11" s="38" t="s">
        <v>50</v>
      </c>
      <c r="B11" s="57"/>
      <c r="C11" s="51">
        <v>75</v>
      </c>
      <c r="D11" s="48" t="s">
        <v>59</v>
      </c>
      <c r="E11" s="42">
        <v>200</v>
      </c>
      <c r="F11" s="45">
        <v>7.81</v>
      </c>
      <c r="G11" s="45">
        <v>138</v>
      </c>
      <c r="H11" s="45">
        <v>2.74</v>
      </c>
      <c r="I11" s="45">
        <v>3.23</v>
      </c>
      <c r="J11" s="54">
        <v>24.11</v>
      </c>
    </row>
    <row r="12" spans="1:10" x14ac:dyDescent="0.3">
      <c r="A12" s="40" t="s">
        <v>48</v>
      </c>
      <c r="B12" s="29"/>
      <c r="C12" s="52">
        <v>62</v>
      </c>
      <c r="D12" s="49" t="s">
        <v>60</v>
      </c>
      <c r="E12" s="43">
        <v>110</v>
      </c>
      <c r="F12" s="46">
        <v>19.809999999999999</v>
      </c>
      <c r="G12" s="46">
        <v>299.02</v>
      </c>
      <c r="H12" s="46">
        <f>10.49*1.1</f>
        <v>11.539000000000001</v>
      </c>
      <c r="I12" s="46">
        <f>11.32*1.1</f>
        <v>12.452000000000002</v>
      </c>
      <c r="J12" s="55">
        <f>32*1.1</f>
        <v>35.200000000000003</v>
      </c>
    </row>
    <row r="13" spans="1:10" ht="15" thickBot="1" x14ac:dyDescent="0.35">
      <c r="A13" s="41"/>
      <c r="B13" s="36"/>
      <c r="C13" s="53" t="s">
        <v>24</v>
      </c>
      <c r="D13" s="50" t="s">
        <v>61</v>
      </c>
      <c r="E13" s="44">
        <v>25</v>
      </c>
      <c r="F13" s="47">
        <v>8.82</v>
      </c>
      <c r="G13" s="47">
        <v>79.45</v>
      </c>
      <c r="H13" s="46">
        <f>2.14*25/40</f>
        <v>1.3374999999999999</v>
      </c>
      <c r="I13" s="46">
        <f>2.8*25/40</f>
        <v>1.75</v>
      </c>
      <c r="J13" s="46">
        <f>23.34*25/40</f>
        <v>14.5875</v>
      </c>
    </row>
    <row r="14" spans="1:10" x14ac:dyDescent="0.3">
      <c r="A14" s="40" t="s">
        <v>13</v>
      </c>
      <c r="B14" s="59" t="s">
        <v>14</v>
      </c>
      <c r="C14" s="60">
        <v>59</v>
      </c>
      <c r="D14" s="61" t="s">
        <v>29</v>
      </c>
      <c r="E14" s="62">
        <v>40</v>
      </c>
      <c r="F14" s="63">
        <v>3.48</v>
      </c>
      <c r="G14" s="63">
        <v>50</v>
      </c>
      <c r="H14" s="63">
        <f>1.26*40/60</f>
        <v>0.84</v>
      </c>
      <c r="I14" s="63">
        <f>4.08*40/60</f>
        <v>2.7199999999999998</v>
      </c>
      <c r="J14" s="64">
        <f>8.28*40/60</f>
        <v>5.52</v>
      </c>
    </row>
    <row r="15" spans="1:10" x14ac:dyDescent="0.3">
      <c r="A15" s="40" t="s">
        <v>48</v>
      </c>
      <c r="B15" s="37" t="s">
        <v>15</v>
      </c>
      <c r="C15" s="52">
        <v>60</v>
      </c>
      <c r="D15" s="49" t="s">
        <v>62</v>
      </c>
      <c r="E15" s="43">
        <v>200</v>
      </c>
      <c r="F15" s="46">
        <v>16.36</v>
      </c>
      <c r="G15" s="46">
        <v>110.4</v>
      </c>
      <c r="H15" s="46">
        <v>6.78</v>
      </c>
      <c r="I15" s="46">
        <v>3.06</v>
      </c>
      <c r="J15" s="55">
        <v>11.06</v>
      </c>
    </row>
    <row r="16" spans="1:10" x14ac:dyDescent="0.3">
      <c r="A16" s="40"/>
      <c r="B16" s="37" t="s">
        <v>16</v>
      </c>
      <c r="C16" s="52">
        <v>14</v>
      </c>
      <c r="D16" s="49" t="s">
        <v>63</v>
      </c>
      <c r="E16" s="43">
        <v>90</v>
      </c>
      <c r="F16" s="46">
        <v>29.63</v>
      </c>
      <c r="G16" s="46">
        <v>214.2</v>
      </c>
      <c r="H16" s="46">
        <f>13.62*90/90</f>
        <v>13.62</v>
      </c>
      <c r="I16" s="46">
        <f>12.68*90/90</f>
        <v>12.68</v>
      </c>
      <c r="J16" s="55">
        <f>7.61*90/90</f>
        <v>7.6099999999999994</v>
      </c>
    </row>
    <row r="17" spans="1:10" x14ac:dyDescent="0.3">
      <c r="A17" s="40"/>
      <c r="B17" s="37"/>
      <c r="C17" s="52">
        <v>42</v>
      </c>
      <c r="D17" s="49" t="s">
        <v>64</v>
      </c>
      <c r="E17" s="43">
        <v>20</v>
      </c>
      <c r="F17" s="46">
        <v>3.09</v>
      </c>
      <c r="G17" s="46">
        <v>23.06</v>
      </c>
      <c r="H17" s="46">
        <v>0.31</v>
      </c>
      <c r="I17" s="46">
        <v>2.13</v>
      </c>
      <c r="J17" s="55">
        <v>0.68</v>
      </c>
    </row>
    <row r="18" spans="1:10" x14ac:dyDescent="0.3">
      <c r="A18" s="40"/>
      <c r="B18" s="37" t="s">
        <v>17</v>
      </c>
      <c r="C18" s="52">
        <v>24</v>
      </c>
      <c r="D18" s="49" t="s">
        <v>65</v>
      </c>
      <c r="E18" s="43">
        <v>150</v>
      </c>
      <c r="F18" s="46">
        <v>13.95</v>
      </c>
      <c r="G18" s="46">
        <f>361.13*150/180</f>
        <v>300.94166666666666</v>
      </c>
      <c r="H18" s="46">
        <f>62.8*150/150</f>
        <v>62.8</v>
      </c>
      <c r="I18" s="46">
        <f>9.94*150/150</f>
        <v>9.94</v>
      </c>
      <c r="J18" s="55">
        <f>46.69*150/150</f>
        <v>46.69</v>
      </c>
    </row>
    <row r="19" spans="1:10" x14ac:dyDescent="0.3">
      <c r="A19" s="40"/>
      <c r="B19" s="37" t="s">
        <v>30</v>
      </c>
      <c r="C19" s="52">
        <v>17</v>
      </c>
      <c r="D19" s="49" t="s">
        <v>66</v>
      </c>
      <c r="E19" s="43">
        <v>200</v>
      </c>
      <c r="F19" s="46">
        <v>3.49</v>
      </c>
      <c r="G19" s="46">
        <v>141.4</v>
      </c>
      <c r="H19" s="46">
        <v>0.08</v>
      </c>
      <c r="I19" s="46">
        <v>0</v>
      </c>
      <c r="J19" s="55">
        <v>35</v>
      </c>
    </row>
    <row r="20" spans="1:10" x14ac:dyDescent="0.3">
      <c r="A20" s="40"/>
      <c r="B20" s="37" t="s">
        <v>21</v>
      </c>
      <c r="C20" s="52" t="s">
        <v>24</v>
      </c>
      <c r="D20" s="49" t="s">
        <v>31</v>
      </c>
      <c r="E20" s="43">
        <v>31</v>
      </c>
      <c r="F20" s="46">
        <v>1.25</v>
      </c>
      <c r="G20" s="46">
        <v>62</v>
      </c>
      <c r="H20" s="46">
        <f>2.4*31/30</f>
        <v>2.4799999999999995</v>
      </c>
      <c r="I20" s="46">
        <f>0.45*31/30</f>
        <v>0.46500000000000002</v>
      </c>
      <c r="J20" s="55">
        <f>11.37*31/30</f>
        <v>11.748999999999999</v>
      </c>
    </row>
    <row r="21" spans="1:10" ht="15" thickBot="1" x14ac:dyDescent="0.35">
      <c r="A21" s="40"/>
      <c r="B21" s="37" t="s">
        <v>18</v>
      </c>
      <c r="C21" s="52" t="s">
        <v>24</v>
      </c>
      <c r="D21" s="49" t="s">
        <v>25</v>
      </c>
      <c r="E21" s="43">
        <v>31</v>
      </c>
      <c r="F21" s="46">
        <v>1.65</v>
      </c>
      <c r="G21" s="46">
        <v>64.48</v>
      </c>
      <c r="H21" s="46">
        <f>1.47*31/30</f>
        <v>1.5189999999999999</v>
      </c>
      <c r="I21" s="46">
        <f>0.3*31/30</f>
        <v>0.30999999999999994</v>
      </c>
      <c r="J21" s="55">
        <f>13.44*31/30</f>
        <v>13.888</v>
      </c>
    </row>
    <row r="22" spans="1:10" x14ac:dyDescent="0.3">
      <c r="A22" s="38" t="s">
        <v>10</v>
      </c>
      <c r="B22" s="39" t="s">
        <v>11</v>
      </c>
      <c r="C22" s="51">
        <v>18</v>
      </c>
      <c r="D22" s="48" t="s">
        <v>55</v>
      </c>
      <c r="E22" s="42">
        <v>200</v>
      </c>
      <c r="F22" s="45">
        <v>29.69</v>
      </c>
      <c r="G22" s="45">
        <v>381</v>
      </c>
      <c r="H22" s="45">
        <v>13.06</v>
      </c>
      <c r="I22" s="45">
        <v>18.57</v>
      </c>
      <c r="J22" s="54">
        <v>36.51</v>
      </c>
    </row>
    <row r="23" spans="1:10" x14ac:dyDescent="0.3">
      <c r="A23" s="40" t="s">
        <v>67</v>
      </c>
      <c r="B23" s="37" t="s">
        <v>12</v>
      </c>
      <c r="C23" s="52">
        <v>30</v>
      </c>
      <c r="D23" s="49" t="s">
        <v>56</v>
      </c>
      <c r="E23" s="43">
        <v>200</v>
      </c>
      <c r="F23" s="46">
        <v>2.91</v>
      </c>
      <c r="G23" s="46">
        <v>65</v>
      </c>
      <c r="H23" s="46">
        <v>0.2</v>
      </c>
      <c r="I23" s="46">
        <v>0</v>
      </c>
      <c r="J23" s="55">
        <v>16</v>
      </c>
    </row>
    <row r="24" spans="1:10" x14ac:dyDescent="0.3">
      <c r="A24" s="40"/>
      <c r="B24" s="37" t="s">
        <v>20</v>
      </c>
      <c r="C24" s="52" t="s">
        <v>24</v>
      </c>
      <c r="D24" s="49" t="s">
        <v>25</v>
      </c>
      <c r="E24" s="43">
        <v>31</v>
      </c>
      <c r="F24" s="46">
        <v>1.26</v>
      </c>
      <c r="G24" s="46">
        <v>62</v>
      </c>
      <c r="H24" s="46">
        <f>0.98*31/20</f>
        <v>1.5189999999999999</v>
      </c>
      <c r="I24" s="46">
        <f>0.2*31/20</f>
        <v>0.31</v>
      </c>
      <c r="J24" s="55">
        <f>8.95*31/20</f>
        <v>13.872499999999999</v>
      </c>
    </row>
    <row r="25" spans="1:10" x14ac:dyDescent="0.3">
      <c r="A25" s="40"/>
      <c r="B25" s="29"/>
      <c r="C25" s="52" t="s">
        <v>24</v>
      </c>
      <c r="D25" s="49" t="s">
        <v>57</v>
      </c>
      <c r="E25" s="43">
        <v>32</v>
      </c>
      <c r="F25" s="46">
        <v>2.52</v>
      </c>
      <c r="G25" s="46">
        <v>66.56</v>
      </c>
      <c r="H25" s="46">
        <f>1.6*32/20</f>
        <v>2.56</v>
      </c>
      <c r="I25" s="46">
        <f>0.03*32/20</f>
        <v>4.8000000000000001E-2</v>
      </c>
      <c r="J25" s="55">
        <f>8.02*32/20</f>
        <v>12.831999999999999</v>
      </c>
    </row>
    <row r="26" spans="1:10" x14ac:dyDescent="0.3">
      <c r="A26" s="40"/>
      <c r="B26" s="30" t="s">
        <v>26</v>
      </c>
      <c r="C26" s="34">
        <v>3</v>
      </c>
      <c r="D26" s="33" t="s">
        <v>27</v>
      </c>
      <c r="E26" s="31">
        <v>10</v>
      </c>
      <c r="F26" s="32">
        <v>7.04</v>
      </c>
      <c r="G26" s="32">
        <v>64.72</v>
      </c>
      <c r="H26" s="32">
        <v>0.08</v>
      </c>
      <c r="I26" s="32">
        <v>7.15</v>
      </c>
      <c r="J26" s="35">
        <v>0.12</v>
      </c>
    </row>
    <row r="27" spans="1:10" x14ac:dyDescent="0.3">
      <c r="A27" s="58"/>
      <c r="B27" s="29"/>
      <c r="C27" s="52">
        <v>6</v>
      </c>
      <c r="D27" s="49" t="s">
        <v>28</v>
      </c>
      <c r="E27" s="43">
        <v>15</v>
      </c>
      <c r="F27" s="46">
        <v>8.99</v>
      </c>
      <c r="G27" s="46">
        <v>45</v>
      </c>
      <c r="H27" s="46">
        <f>1.36*15/12</f>
        <v>1.7000000000000002</v>
      </c>
      <c r="I27" s="46">
        <f>2.76*15/12</f>
        <v>3.4499999999999997</v>
      </c>
      <c r="J27" s="46">
        <f>0.31*15/12</f>
        <v>0.38750000000000001</v>
      </c>
    </row>
    <row r="28" spans="1:10" ht="15" thickBot="1" x14ac:dyDescent="0.35">
      <c r="A28" s="40"/>
      <c r="B28" s="29"/>
      <c r="C28" s="52" t="s">
        <v>24</v>
      </c>
      <c r="D28" s="49" t="s">
        <v>58</v>
      </c>
      <c r="E28" s="43">
        <v>20</v>
      </c>
      <c r="F28" s="46">
        <v>4.09</v>
      </c>
      <c r="G28" s="46">
        <v>63.56</v>
      </c>
      <c r="H28" s="46">
        <f>2.14*20/40</f>
        <v>1.07</v>
      </c>
      <c r="I28" s="46">
        <f>2.8*20/40</f>
        <v>1.4</v>
      </c>
      <c r="J28" s="46">
        <f>23.34*20/40</f>
        <v>11.67</v>
      </c>
    </row>
    <row r="29" spans="1:10" x14ac:dyDescent="0.3">
      <c r="A29" s="38" t="s">
        <v>50</v>
      </c>
      <c r="B29" s="57"/>
      <c r="C29" s="51">
        <v>75</v>
      </c>
      <c r="D29" s="48" t="s">
        <v>59</v>
      </c>
      <c r="E29" s="42">
        <v>200</v>
      </c>
      <c r="F29" s="45">
        <v>7.81</v>
      </c>
      <c r="G29" s="45">
        <v>138</v>
      </c>
      <c r="H29" s="45">
        <v>2.74</v>
      </c>
      <c r="I29" s="45">
        <v>3.23</v>
      </c>
      <c r="J29" s="54">
        <v>24.11</v>
      </c>
    </row>
    <row r="30" spans="1:10" x14ac:dyDescent="0.3">
      <c r="A30" s="40" t="s">
        <v>67</v>
      </c>
      <c r="B30" s="29"/>
      <c r="C30" s="52">
        <v>62</v>
      </c>
      <c r="D30" s="49" t="s">
        <v>60</v>
      </c>
      <c r="E30" s="43">
        <v>140</v>
      </c>
      <c r="F30" s="46">
        <v>25.73</v>
      </c>
      <c r="G30" s="46">
        <v>380.58</v>
      </c>
      <c r="H30" s="46">
        <f>10.49*1.4</f>
        <v>14.686</v>
      </c>
      <c r="I30" s="46">
        <f>11.32*1.4</f>
        <v>15.847999999999999</v>
      </c>
      <c r="J30" s="55">
        <f>32*1.4</f>
        <v>44.8</v>
      </c>
    </row>
    <row r="31" spans="1:10" ht="15" thickBot="1" x14ac:dyDescent="0.35">
      <c r="A31" s="40"/>
      <c r="B31" s="30"/>
      <c r="C31" s="34" t="s">
        <v>24</v>
      </c>
      <c r="D31" s="33" t="s">
        <v>61</v>
      </c>
      <c r="E31" s="31">
        <v>25</v>
      </c>
      <c r="F31" s="32">
        <v>8.82</v>
      </c>
      <c r="G31" s="32">
        <v>79.45</v>
      </c>
      <c r="H31" s="32">
        <f>2.14*25/40</f>
        <v>1.3374999999999999</v>
      </c>
      <c r="I31" s="32">
        <f>2.8*25/40</f>
        <v>1.75</v>
      </c>
      <c r="J31" s="32">
        <f>23.34*25/40</f>
        <v>14.5875</v>
      </c>
    </row>
    <row r="32" spans="1:10" x14ac:dyDescent="0.3">
      <c r="A32" s="38" t="s">
        <v>13</v>
      </c>
      <c r="B32" s="39" t="s">
        <v>14</v>
      </c>
      <c r="C32" s="51">
        <v>59</v>
      </c>
      <c r="D32" s="48" t="s">
        <v>29</v>
      </c>
      <c r="E32" s="42">
        <v>60</v>
      </c>
      <c r="F32" s="45">
        <v>5.89</v>
      </c>
      <c r="G32" s="45">
        <v>75</v>
      </c>
      <c r="H32" s="45">
        <v>1.26</v>
      </c>
      <c r="I32" s="45">
        <v>4.08</v>
      </c>
      <c r="J32" s="54">
        <v>8.2799999999999994</v>
      </c>
    </row>
    <row r="33" spans="1:10" x14ac:dyDescent="0.3">
      <c r="A33" s="40" t="s">
        <v>67</v>
      </c>
      <c r="B33" s="37" t="s">
        <v>15</v>
      </c>
      <c r="C33" s="52">
        <v>60</v>
      </c>
      <c r="D33" s="49" t="s">
        <v>62</v>
      </c>
      <c r="E33" s="43">
        <v>200</v>
      </c>
      <c r="F33" s="46">
        <v>16.36</v>
      </c>
      <c r="G33" s="46">
        <v>110.4</v>
      </c>
      <c r="H33" s="46">
        <v>6.78</v>
      </c>
      <c r="I33" s="46">
        <v>3.06</v>
      </c>
      <c r="J33" s="55">
        <v>11.06</v>
      </c>
    </row>
    <row r="34" spans="1:10" x14ac:dyDescent="0.3">
      <c r="A34" s="40"/>
      <c r="B34" s="37" t="s">
        <v>16</v>
      </c>
      <c r="C34" s="52">
        <v>14</v>
      </c>
      <c r="D34" s="49" t="s">
        <v>63</v>
      </c>
      <c r="E34" s="43">
        <v>100</v>
      </c>
      <c r="F34" s="46">
        <v>35.35</v>
      </c>
      <c r="G34" s="46">
        <v>238</v>
      </c>
      <c r="H34" s="46">
        <f>13.62*100/90</f>
        <v>15.133333333333333</v>
      </c>
      <c r="I34" s="46">
        <f>12.68*100/90</f>
        <v>14.088888888888889</v>
      </c>
      <c r="J34" s="55">
        <f>7.61*100/90</f>
        <v>8.4555555555555557</v>
      </c>
    </row>
    <row r="35" spans="1:10" x14ac:dyDescent="0.3">
      <c r="A35" s="40"/>
      <c r="B35" s="37"/>
      <c r="C35" s="52">
        <v>42</v>
      </c>
      <c r="D35" s="49" t="s">
        <v>64</v>
      </c>
      <c r="E35" s="43">
        <v>20</v>
      </c>
      <c r="F35" s="46">
        <v>3.09</v>
      </c>
      <c r="G35" s="46">
        <v>23.06</v>
      </c>
      <c r="H35" s="46">
        <v>0.31</v>
      </c>
      <c r="I35" s="46">
        <v>2.13</v>
      </c>
      <c r="J35" s="55">
        <v>0.68</v>
      </c>
    </row>
    <row r="36" spans="1:10" x14ac:dyDescent="0.3">
      <c r="A36" s="40"/>
      <c r="B36" s="37" t="s">
        <v>17</v>
      </c>
      <c r="C36" s="52">
        <v>24</v>
      </c>
      <c r="D36" s="49" t="s">
        <v>65</v>
      </c>
      <c r="E36" s="43">
        <v>180</v>
      </c>
      <c r="F36" s="46">
        <v>16.829999999999998</v>
      </c>
      <c r="G36" s="46">
        <v>361.13</v>
      </c>
      <c r="H36" s="46">
        <f>62.8*180/150</f>
        <v>75.36</v>
      </c>
      <c r="I36" s="46">
        <f>9.94*180/150</f>
        <v>11.927999999999999</v>
      </c>
      <c r="J36" s="55">
        <f>46.69*180/150</f>
        <v>56.027999999999992</v>
      </c>
    </row>
    <row r="37" spans="1:10" x14ac:dyDescent="0.3">
      <c r="A37" s="40"/>
      <c r="B37" s="37" t="s">
        <v>30</v>
      </c>
      <c r="C37" s="52">
        <v>17</v>
      </c>
      <c r="D37" s="49" t="s">
        <v>66</v>
      </c>
      <c r="E37" s="43">
        <v>200</v>
      </c>
      <c r="F37" s="46">
        <v>3.49</v>
      </c>
      <c r="G37" s="46">
        <v>141.4</v>
      </c>
      <c r="H37" s="46">
        <v>0.08</v>
      </c>
      <c r="I37" s="46">
        <v>0</v>
      </c>
      <c r="J37" s="55">
        <v>35</v>
      </c>
    </row>
    <row r="38" spans="1:10" x14ac:dyDescent="0.3">
      <c r="A38" s="40"/>
      <c r="B38" s="37" t="s">
        <v>21</v>
      </c>
      <c r="C38" s="52" t="s">
        <v>24</v>
      </c>
      <c r="D38" s="49" t="s">
        <v>31</v>
      </c>
      <c r="E38" s="43">
        <v>40</v>
      </c>
      <c r="F38" s="46">
        <v>2.1</v>
      </c>
      <c r="G38" s="46">
        <v>83.2</v>
      </c>
      <c r="H38" s="46">
        <f>2.4*40/30</f>
        <v>3.2</v>
      </c>
      <c r="I38" s="46">
        <f>0.45*40/30</f>
        <v>0.6</v>
      </c>
      <c r="J38" s="55">
        <f>11.37*40/30</f>
        <v>15.159999999999998</v>
      </c>
    </row>
    <row r="39" spans="1:10" ht="15" thickBot="1" x14ac:dyDescent="0.35">
      <c r="A39" s="41"/>
      <c r="B39" s="27" t="s">
        <v>18</v>
      </c>
      <c r="C39" s="53" t="s">
        <v>24</v>
      </c>
      <c r="D39" s="50" t="s">
        <v>25</v>
      </c>
      <c r="E39" s="44">
        <v>39</v>
      </c>
      <c r="F39" s="47">
        <v>1.61</v>
      </c>
      <c r="G39" s="47">
        <v>78</v>
      </c>
      <c r="H39" s="47">
        <f>1.47*39/30</f>
        <v>1.911</v>
      </c>
      <c r="I39" s="47">
        <f>0.3*39/30</f>
        <v>0.38999999999999996</v>
      </c>
      <c r="J39" s="56">
        <f>13.44*39/30</f>
        <v>17.471999999999998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9" t="s">
        <v>69</v>
      </c>
      <c r="C1" s="70"/>
      <c r="D1" s="71"/>
      <c r="E1" t="s">
        <v>19</v>
      </c>
      <c r="F1" s="12"/>
      <c r="I1" t="s">
        <v>1</v>
      </c>
      <c r="J1" s="11">
        <v>44337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38" t="s">
        <v>10</v>
      </c>
      <c r="B4" s="39" t="s">
        <v>11</v>
      </c>
      <c r="C4" s="51">
        <v>72</v>
      </c>
      <c r="D4" s="48" t="s">
        <v>32</v>
      </c>
      <c r="E4" s="42">
        <v>160</v>
      </c>
      <c r="F4" s="45">
        <v>36.78</v>
      </c>
      <c r="G4" s="45">
        <v>249.6</v>
      </c>
      <c r="H4" s="45">
        <f>23.6*160/200</f>
        <v>18.88</v>
      </c>
      <c r="I4" s="45">
        <f>8.93*160/200</f>
        <v>7.1440000000000001</v>
      </c>
      <c r="J4" s="54">
        <f>34.27*160/200</f>
        <v>27.416000000000004</v>
      </c>
    </row>
    <row r="5" spans="1:10" x14ac:dyDescent="0.3">
      <c r="A5" s="40" t="s">
        <v>48</v>
      </c>
      <c r="B5" s="37" t="s">
        <v>12</v>
      </c>
      <c r="C5" s="52">
        <v>20</v>
      </c>
      <c r="D5" s="49" t="s">
        <v>33</v>
      </c>
      <c r="E5" s="43">
        <v>200</v>
      </c>
      <c r="F5" s="46">
        <v>4.57</v>
      </c>
      <c r="G5" s="46">
        <v>91</v>
      </c>
      <c r="H5" s="46">
        <v>1.4</v>
      </c>
      <c r="I5" s="46">
        <v>1.6</v>
      </c>
      <c r="J5" s="55">
        <v>17.7</v>
      </c>
    </row>
    <row r="6" spans="1:10" x14ac:dyDescent="0.3">
      <c r="A6" s="40"/>
      <c r="B6" s="37" t="s">
        <v>20</v>
      </c>
      <c r="C6" s="52" t="s">
        <v>24</v>
      </c>
      <c r="D6" s="49" t="s">
        <v>25</v>
      </c>
      <c r="E6" s="43">
        <v>31</v>
      </c>
      <c r="F6" s="46">
        <v>1.28</v>
      </c>
      <c r="G6" s="46">
        <v>62</v>
      </c>
      <c r="H6" s="46">
        <f>1.47*31/30</f>
        <v>1.5189999999999999</v>
      </c>
      <c r="I6" s="46">
        <f>0.3*31/30</f>
        <v>0.30999999999999994</v>
      </c>
      <c r="J6" s="55">
        <f>13.44*31/30</f>
        <v>13.888</v>
      </c>
    </row>
    <row r="7" spans="1:10" x14ac:dyDescent="0.3">
      <c r="A7" s="40"/>
      <c r="B7" s="29"/>
      <c r="C7" s="52" t="s">
        <v>24</v>
      </c>
      <c r="D7" s="49" t="s">
        <v>31</v>
      </c>
      <c r="E7" s="43">
        <v>31</v>
      </c>
      <c r="F7" s="46">
        <v>1.65</v>
      </c>
      <c r="G7" s="46">
        <v>64.400000000000006</v>
      </c>
      <c r="H7" s="46">
        <f>2.4*31/30</f>
        <v>2.4799999999999995</v>
      </c>
      <c r="I7" s="46">
        <f>0.45*31/30</f>
        <v>0.46500000000000002</v>
      </c>
      <c r="J7" s="55">
        <f>11.37*31/30</f>
        <v>11.748999999999999</v>
      </c>
    </row>
    <row r="8" spans="1:10" ht="15" thickBot="1" x14ac:dyDescent="0.35">
      <c r="A8" s="41"/>
      <c r="B8" s="36" t="s">
        <v>26</v>
      </c>
      <c r="C8" s="53" t="s">
        <v>24</v>
      </c>
      <c r="D8" s="50" t="s">
        <v>68</v>
      </c>
      <c r="E8" s="44">
        <v>30</v>
      </c>
      <c r="F8" s="47">
        <v>4.32</v>
      </c>
      <c r="G8" s="47">
        <v>95.38</v>
      </c>
      <c r="H8" s="47">
        <f>3.22*30/60</f>
        <v>1.61</v>
      </c>
      <c r="I8" s="47">
        <f>4.2*30/60</f>
        <v>2.1</v>
      </c>
      <c r="J8" s="56">
        <f>35.02*30/60</f>
        <v>17.510000000000002</v>
      </c>
    </row>
    <row r="9" spans="1:10" s="28" customFormat="1" x14ac:dyDescent="0.3">
      <c r="A9" s="38" t="s">
        <v>50</v>
      </c>
      <c r="B9" s="57"/>
      <c r="C9" s="51">
        <v>8</v>
      </c>
      <c r="D9" s="48" t="s">
        <v>51</v>
      </c>
      <c r="E9" s="42">
        <v>200</v>
      </c>
      <c r="F9" s="45">
        <v>12.68</v>
      </c>
      <c r="G9" s="45">
        <v>108</v>
      </c>
      <c r="H9" s="45">
        <v>5.8</v>
      </c>
      <c r="I9" s="45">
        <v>5</v>
      </c>
      <c r="J9" s="54">
        <v>9.6</v>
      </c>
    </row>
    <row r="10" spans="1:10" s="28" customFormat="1" x14ac:dyDescent="0.3">
      <c r="A10" s="40"/>
      <c r="B10" s="29"/>
      <c r="C10" s="34" t="s">
        <v>24</v>
      </c>
      <c r="D10" s="33" t="s">
        <v>34</v>
      </c>
      <c r="E10" s="31">
        <v>34</v>
      </c>
      <c r="F10" s="32">
        <v>5.17</v>
      </c>
      <c r="G10" s="32">
        <f>190.76*34/60</f>
        <v>108.09733333333334</v>
      </c>
      <c r="H10" s="32">
        <f>3.22*34/60</f>
        <v>1.8246666666666667</v>
      </c>
      <c r="I10" s="32">
        <f>4.2*34/60</f>
        <v>2.3800000000000003</v>
      </c>
      <c r="J10" s="35">
        <f>35.02*34/60</f>
        <v>19.844666666666669</v>
      </c>
    </row>
    <row r="11" spans="1:10" s="28" customFormat="1" ht="15" thickBot="1" x14ac:dyDescent="0.35">
      <c r="A11" s="41"/>
      <c r="B11" s="36"/>
      <c r="C11" s="53">
        <v>67</v>
      </c>
      <c r="D11" s="50" t="s">
        <v>52</v>
      </c>
      <c r="E11" s="44">
        <v>100</v>
      </c>
      <c r="F11" s="47">
        <v>18.62</v>
      </c>
      <c r="G11" s="47">
        <f>376.67*100/100</f>
        <v>376.67</v>
      </c>
      <c r="H11" s="46">
        <f>7*100/100</f>
        <v>7</v>
      </c>
      <c r="I11" s="46">
        <f>13.83*100/100</f>
        <v>13.83</v>
      </c>
      <c r="J11" s="46">
        <f>55.83*100/100</f>
        <v>55.83</v>
      </c>
    </row>
    <row r="12" spans="1:10" x14ac:dyDescent="0.3">
      <c r="A12" s="38" t="s">
        <v>13</v>
      </c>
      <c r="B12" s="39" t="s">
        <v>14</v>
      </c>
      <c r="C12" s="51">
        <v>54</v>
      </c>
      <c r="D12" s="48" t="s">
        <v>35</v>
      </c>
      <c r="E12" s="42">
        <v>50</v>
      </c>
      <c r="F12" s="45">
        <v>7.26</v>
      </c>
      <c r="G12" s="45">
        <f>75*50/60</f>
        <v>62.5</v>
      </c>
      <c r="H12" s="45">
        <f>0.5*50/60</f>
        <v>0.41666666666666669</v>
      </c>
      <c r="I12" s="45">
        <f>5.1*50/60</f>
        <v>4.2499999999999991</v>
      </c>
      <c r="J12" s="54">
        <f>0</f>
        <v>0</v>
      </c>
    </row>
    <row r="13" spans="1:10" ht="28.8" x14ac:dyDescent="0.3">
      <c r="A13" s="40" t="s">
        <v>48</v>
      </c>
      <c r="B13" s="37" t="s">
        <v>15</v>
      </c>
      <c r="C13" s="52">
        <v>33</v>
      </c>
      <c r="D13" s="49" t="s">
        <v>36</v>
      </c>
      <c r="E13" s="43">
        <v>250</v>
      </c>
      <c r="F13" s="46">
        <v>10.57</v>
      </c>
      <c r="G13" s="46">
        <v>108.75</v>
      </c>
      <c r="H13" s="46">
        <v>1.72</v>
      </c>
      <c r="I13" s="46">
        <v>6.18</v>
      </c>
      <c r="J13" s="55">
        <v>11.66</v>
      </c>
    </row>
    <row r="14" spans="1:10" x14ac:dyDescent="0.3">
      <c r="A14" s="40"/>
      <c r="B14" s="37" t="s">
        <v>16</v>
      </c>
      <c r="C14" s="52">
        <v>58</v>
      </c>
      <c r="D14" s="49" t="s">
        <v>37</v>
      </c>
      <c r="E14" s="43">
        <v>90</v>
      </c>
      <c r="F14" s="46">
        <v>32.840000000000003</v>
      </c>
      <c r="G14" s="46">
        <v>257.39999999999998</v>
      </c>
      <c r="H14" s="46">
        <v>16.02</v>
      </c>
      <c r="I14" s="46">
        <v>15.75</v>
      </c>
      <c r="J14" s="55">
        <v>12.87</v>
      </c>
    </row>
    <row r="15" spans="1:10" x14ac:dyDescent="0.3">
      <c r="A15" s="40"/>
      <c r="B15" s="37" t="s">
        <v>17</v>
      </c>
      <c r="C15" s="52">
        <v>7</v>
      </c>
      <c r="D15" s="49" t="s">
        <v>38</v>
      </c>
      <c r="E15" s="43">
        <v>150</v>
      </c>
      <c r="F15" s="46">
        <v>12.72</v>
      </c>
      <c r="G15" s="46">
        <v>132.6</v>
      </c>
      <c r="H15" s="46">
        <f>3.74*150/180</f>
        <v>3.1166666666666667</v>
      </c>
      <c r="I15" s="46">
        <f>6.12*150/180</f>
        <v>5.0999999999999996</v>
      </c>
      <c r="J15" s="55">
        <f>22.28*150/180</f>
        <v>18.566666666666666</v>
      </c>
    </row>
    <row r="16" spans="1:10" x14ac:dyDescent="0.3">
      <c r="A16" s="40"/>
      <c r="B16" s="37" t="s">
        <v>30</v>
      </c>
      <c r="C16" s="52">
        <v>35</v>
      </c>
      <c r="D16" s="49" t="s">
        <v>39</v>
      </c>
      <c r="E16" s="43">
        <v>200</v>
      </c>
      <c r="F16" s="46">
        <v>6.37</v>
      </c>
      <c r="G16" s="46">
        <v>97</v>
      </c>
      <c r="H16" s="46">
        <v>0.7</v>
      </c>
      <c r="I16" s="46">
        <v>0.3</v>
      </c>
      <c r="J16" s="55">
        <v>22.8</v>
      </c>
    </row>
    <row r="17" spans="1:13" x14ac:dyDescent="0.3">
      <c r="A17" s="40"/>
      <c r="B17" s="37" t="s">
        <v>21</v>
      </c>
      <c r="C17" s="52" t="s">
        <v>24</v>
      </c>
      <c r="D17" s="49" t="s">
        <v>31</v>
      </c>
      <c r="E17" s="43">
        <v>33</v>
      </c>
      <c r="F17" s="46">
        <v>1.33</v>
      </c>
      <c r="G17" s="46">
        <v>66</v>
      </c>
      <c r="H17" s="46">
        <f>2.4*33/30</f>
        <v>2.64</v>
      </c>
      <c r="I17" s="46">
        <f>0.45*33/30</f>
        <v>0.495</v>
      </c>
      <c r="J17" s="55">
        <f>11.37*33/30</f>
        <v>12.507</v>
      </c>
    </row>
    <row r="18" spans="1:13" ht="15" thickBot="1" x14ac:dyDescent="0.35">
      <c r="A18" s="41"/>
      <c r="B18" s="27" t="s">
        <v>18</v>
      </c>
      <c r="C18" s="53" t="s">
        <v>24</v>
      </c>
      <c r="D18" s="50" t="s">
        <v>25</v>
      </c>
      <c r="E18" s="44">
        <v>34</v>
      </c>
      <c r="F18" s="47">
        <v>1.81</v>
      </c>
      <c r="G18" s="47">
        <v>70.72</v>
      </c>
      <c r="H18" s="47">
        <f>1.47*34/30</f>
        <v>1.6659999999999999</v>
      </c>
      <c r="I18" s="47">
        <f>0.3*34/30</f>
        <v>0.33999999999999997</v>
      </c>
      <c r="J18" s="56">
        <f>13.44*34/30</f>
        <v>15.231999999999999</v>
      </c>
    </row>
    <row r="19" spans="1:13" x14ac:dyDescent="0.3">
      <c r="A19" s="38" t="s">
        <v>10</v>
      </c>
      <c r="B19" s="39" t="s">
        <v>11</v>
      </c>
      <c r="C19" s="51">
        <v>72</v>
      </c>
      <c r="D19" s="48" t="s">
        <v>32</v>
      </c>
      <c r="E19" s="42">
        <v>200</v>
      </c>
      <c r="F19" s="45">
        <v>44.14</v>
      </c>
      <c r="G19" s="45">
        <v>312</v>
      </c>
      <c r="H19" s="45">
        <v>23.6</v>
      </c>
      <c r="I19" s="45">
        <v>8.93</v>
      </c>
      <c r="J19" s="54">
        <v>34.270000000000003</v>
      </c>
    </row>
    <row r="20" spans="1:13" x14ac:dyDescent="0.3">
      <c r="A20" s="40" t="s">
        <v>49</v>
      </c>
      <c r="B20" s="37" t="s">
        <v>12</v>
      </c>
      <c r="C20" s="52">
        <v>20</v>
      </c>
      <c r="D20" s="49" t="s">
        <v>33</v>
      </c>
      <c r="E20" s="43">
        <v>200</v>
      </c>
      <c r="F20" s="46">
        <v>4.57</v>
      </c>
      <c r="G20" s="46">
        <v>91</v>
      </c>
      <c r="H20" s="46">
        <v>1.4</v>
      </c>
      <c r="I20" s="46">
        <v>1.6</v>
      </c>
      <c r="J20" s="55">
        <v>17.7</v>
      </c>
    </row>
    <row r="21" spans="1:13" x14ac:dyDescent="0.3">
      <c r="A21" s="40"/>
      <c r="B21" s="37" t="s">
        <v>20</v>
      </c>
      <c r="C21" s="52" t="s">
        <v>24</v>
      </c>
      <c r="D21" s="49" t="s">
        <v>25</v>
      </c>
      <c r="E21" s="43">
        <v>37</v>
      </c>
      <c r="F21" s="46">
        <v>1.5</v>
      </c>
      <c r="G21" s="46">
        <v>74</v>
      </c>
      <c r="H21" s="46">
        <f>1.47*37/30</f>
        <v>1.8129999999999999</v>
      </c>
      <c r="I21" s="46">
        <f>0.3*37/30</f>
        <v>0.37</v>
      </c>
      <c r="J21" s="55">
        <f>13.44*37/30</f>
        <v>16.576000000000001</v>
      </c>
      <c r="K21" s="28"/>
    </row>
    <row r="22" spans="1:13" x14ac:dyDescent="0.3">
      <c r="A22" s="40"/>
      <c r="B22" s="29"/>
      <c r="C22" s="52" t="s">
        <v>24</v>
      </c>
      <c r="D22" s="49" t="s">
        <v>31</v>
      </c>
      <c r="E22" s="43">
        <v>37</v>
      </c>
      <c r="F22" s="46">
        <v>1.97</v>
      </c>
      <c r="G22" s="46">
        <v>76.959999999999994</v>
      </c>
      <c r="H22" s="46">
        <f>2.4*37/30</f>
        <v>2.96</v>
      </c>
      <c r="I22" s="46">
        <f>0.45*37/30</f>
        <v>0.55500000000000005</v>
      </c>
      <c r="J22" s="55">
        <f>11.37*37/30</f>
        <v>14.023</v>
      </c>
      <c r="K22" s="28"/>
    </row>
    <row r="23" spans="1:13" ht="15" thickBot="1" x14ac:dyDescent="0.35">
      <c r="A23" s="40"/>
      <c r="B23" s="30" t="s">
        <v>26</v>
      </c>
      <c r="C23" s="34" t="s">
        <v>24</v>
      </c>
      <c r="D23" s="50" t="s">
        <v>68</v>
      </c>
      <c r="E23" s="44">
        <v>30</v>
      </c>
      <c r="F23" s="47">
        <v>4.32</v>
      </c>
      <c r="G23" s="47">
        <v>95.38</v>
      </c>
      <c r="H23" s="47">
        <f>3.22*30/60</f>
        <v>1.61</v>
      </c>
      <c r="I23" s="47">
        <f>4.2*30/60</f>
        <v>2.1</v>
      </c>
      <c r="J23" s="56">
        <f>35.02*30/60</f>
        <v>17.510000000000002</v>
      </c>
      <c r="M23" s="65"/>
    </row>
    <row r="24" spans="1:13" s="28" customFormat="1" x14ac:dyDescent="0.3">
      <c r="A24" s="38" t="s">
        <v>50</v>
      </c>
      <c r="B24" s="57"/>
      <c r="C24" s="51">
        <v>8</v>
      </c>
      <c r="D24" s="48" t="s">
        <v>51</v>
      </c>
      <c r="E24" s="42">
        <v>200</v>
      </c>
      <c r="F24" s="45">
        <v>12.68</v>
      </c>
      <c r="G24" s="45">
        <v>108</v>
      </c>
      <c r="H24" s="45">
        <v>5.8</v>
      </c>
      <c r="I24" s="45">
        <v>5</v>
      </c>
      <c r="J24" s="54">
        <v>9.6</v>
      </c>
    </row>
    <row r="25" spans="1:13" s="28" customFormat="1" x14ac:dyDescent="0.3">
      <c r="A25" s="40"/>
      <c r="B25" s="29"/>
      <c r="C25" s="34" t="s">
        <v>24</v>
      </c>
      <c r="D25" s="33" t="s">
        <v>34</v>
      </c>
      <c r="E25" s="31">
        <v>34</v>
      </c>
      <c r="F25" s="32">
        <v>5.14</v>
      </c>
      <c r="G25" s="32">
        <f>190.76*34/60</f>
        <v>108.09733333333334</v>
      </c>
      <c r="H25" s="32">
        <f>3.22*34/60</f>
        <v>1.8246666666666667</v>
      </c>
      <c r="I25" s="32">
        <f>4.2*34/60</f>
        <v>2.3800000000000003</v>
      </c>
      <c r="J25" s="35">
        <f>35.02*34/60</f>
        <v>19.844666666666669</v>
      </c>
    </row>
    <row r="26" spans="1:13" s="28" customFormat="1" ht="15" thickBot="1" x14ac:dyDescent="0.35">
      <c r="A26" s="41"/>
      <c r="B26" s="36"/>
      <c r="C26" s="53">
        <v>67</v>
      </c>
      <c r="D26" s="50" t="s">
        <v>52</v>
      </c>
      <c r="E26" s="44">
        <v>130</v>
      </c>
      <c r="F26" s="47">
        <v>24.54</v>
      </c>
      <c r="G26" s="47">
        <f>376.67*130/100</f>
        <v>489.67099999999999</v>
      </c>
      <c r="H26" s="46">
        <f>7*130/100</f>
        <v>9.1</v>
      </c>
      <c r="I26" s="46">
        <f>13.83*130/100</f>
        <v>17.978999999999999</v>
      </c>
      <c r="J26" s="46">
        <f>55.83*130/100</f>
        <v>72.578999999999994</v>
      </c>
    </row>
    <row r="27" spans="1:13" x14ac:dyDescent="0.3">
      <c r="A27" s="38" t="s">
        <v>13</v>
      </c>
      <c r="B27" s="39" t="s">
        <v>14</v>
      </c>
      <c r="C27" s="51">
        <v>54</v>
      </c>
      <c r="D27" s="48" t="s">
        <v>35</v>
      </c>
      <c r="E27" s="42">
        <v>65</v>
      </c>
      <c r="F27" s="45">
        <v>8.49</v>
      </c>
      <c r="G27" s="45">
        <f>75*65/60</f>
        <v>81.25</v>
      </c>
      <c r="H27" s="45">
        <f>0.5*65/60</f>
        <v>0.54166666666666663</v>
      </c>
      <c r="I27" s="45">
        <f>5.1*65/60</f>
        <v>5.5250000000000004</v>
      </c>
      <c r="J27" s="54">
        <f>0</f>
        <v>0</v>
      </c>
    </row>
    <row r="28" spans="1:13" ht="28.8" x14ac:dyDescent="0.3">
      <c r="A28" s="40" t="s">
        <v>49</v>
      </c>
      <c r="B28" s="37" t="s">
        <v>15</v>
      </c>
      <c r="C28" s="52">
        <v>33</v>
      </c>
      <c r="D28" s="49" t="s">
        <v>36</v>
      </c>
      <c r="E28" s="43">
        <v>250</v>
      </c>
      <c r="F28" s="46">
        <v>10.57</v>
      </c>
      <c r="G28" s="46">
        <v>108.75</v>
      </c>
      <c r="H28" s="46">
        <v>1.72</v>
      </c>
      <c r="I28" s="46">
        <v>6.18</v>
      </c>
      <c r="J28" s="55">
        <v>11.66</v>
      </c>
    </row>
    <row r="29" spans="1:13" x14ac:dyDescent="0.3">
      <c r="A29" s="40"/>
      <c r="B29" s="37" t="s">
        <v>16</v>
      </c>
      <c r="C29" s="52">
        <v>58</v>
      </c>
      <c r="D29" s="49" t="s">
        <v>37</v>
      </c>
      <c r="E29" s="43">
        <v>100</v>
      </c>
      <c r="F29" s="46">
        <v>40.130000000000003</v>
      </c>
      <c r="G29" s="46">
        <v>286</v>
      </c>
      <c r="H29" s="46">
        <f>16.02*100/90</f>
        <v>17.8</v>
      </c>
      <c r="I29" s="46">
        <f>15.75*100/90</f>
        <v>17.5</v>
      </c>
      <c r="J29" s="55">
        <f>12.87*100/90</f>
        <v>14.3</v>
      </c>
    </row>
    <row r="30" spans="1:13" x14ac:dyDescent="0.3">
      <c r="A30" s="40"/>
      <c r="B30" s="37" t="s">
        <v>17</v>
      </c>
      <c r="C30" s="52">
        <v>7</v>
      </c>
      <c r="D30" s="49" t="s">
        <v>38</v>
      </c>
      <c r="E30" s="43">
        <v>180</v>
      </c>
      <c r="F30" s="46">
        <v>15.26</v>
      </c>
      <c r="G30" s="46">
        <v>159.12</v>
      </c>
      <c r="H30" s="46">
        <v>3.74</v>
      </c>
      <c r="I30" s="46">
        <v>6.12</v>
      </c>
      <c r="J30" s="55">
        <v>22.28</v>
      </c>
    </row>
    <row r="31" spans="1:13" x14ac:dyDescent="0.3">
      <c r="A31" s="40"/>
      <c r="B31" s="37" t="s">
        <v>30</v>
      </c>
      <c r="C31" s="52">
        <v>35</v>
      </c>
      <c r="D31" s="49" t="s">
        <v>39</v>
      </c>
      <c r="E31" s="43">
        <v>200</v>
      </c>
      <c r="F31" s="46">
        <v>6.37</v>
      </c>
      <c r="G31" s="46">
        <v>97</v>
      </c>
      <c r="H31" s="46">
        <v>0.7</v>
      </c>
      <c r="I31" s="46">
        <v>0.3</v>
      </c>
      <c r="J31" s="55">
        <v>22.8</v>
      </c>
    </row>
    <row r="32" spans="1:13" x14ac:dyDescent="0.3">
      <c r="A32" s="40"/>
      <c r="B32" s="37" t="s">
        <v>21</v>
      </c>
      <c r="C32" s="52" t="s">
        <v>24</v>
      </c>
      <c r="D32" s="49" t="s">
        <v>31</v>
      </c>
      <c r="E32" s="43">
        <v>42</v>
      </c>
      <c r="F32" s="46">
        <v>2.21</v>
      </c>
      <c r="G32" s="46">
        <v>87.36</v>
      </c>
      <c r="H32" s="46">
        <f>2.4*42/30</f>
        <v>3.36</v>
      </c>
      <c r="I32" s="46">
        <f>0.45*42/30</f>
        <v>0.63000000000000012</v>
      </c>
      <c r="J32" s="55">
        <f>11.37*42/30</f>
        <v>15.917999999999999</v>
      </c>
    </row>
    <row r="33" spans="1:10" ht="15" thickBot="1" x14ac:dyDescent="0.35">
      <c r="A33" s="41"/>
      <c r="B33" s="27" t="s">
        <v>18</v>
      </c>
      <c r="C33" s="53" t="s">
        <v>24</v>
      </c>
      <c r="D33" s="50" t="s">
        <v>25</v>
      </c>
      <c r="E33" s="44">
        <v>41</v>
      </c>
      <c r="F33" s="47">
        <v>1.69</v>
      </c>
      <c r="G33" s="47">
        <v>82</v>
      </c>
      <c r="H33" s="47">
        <f>1.47*41/30</f>
        <v>2.0089999999999999</v>
      </c>
      <c r="I33" s="47">
        <f>0.3*41/30</f>
        <v>0.41</v>
      </c>
      <c r="J33" s="56">
        <f>13.44*41/30</f>
        <v>18.367999999999999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4" x14ac:dyDescent="0.3">
      <c r="A1" t="s">
        <v>0</v>
      </c>
      <c r="B1" s="69" t="s">
        <v>69</v>
      </c>
      <c r="C1" s="70"/>
      <c r="D1" s="71"/>
      <c r="E1" t="s">
        <v>19</v>
      </c>
      <c r="F1" s="12"/>
      <c r="I1" t="s">
        <v>1</v>
      </c>
      <c r="J1" s="11">
        <v>44340</v>
      </c>
    </row>
    <row r="2" spans="1:14" ht="7.5" customHeight="1" thickBot="1" x14ac:dyDescent="0.35"/>
    <row r="3" spans="1:14" ht="15" thickBot="1" x14ac:dyDescent="0.35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4" x14ac:dyDescent="0.3">
      <c r="A4" s="3" t="s">
        <v>10</v>
      </c>
      <c r="B4" s="4" t="s">
        <v>11</v>
      </c>
      <c r="C4" s="21">
        <v>32</v>
      </c>
      <c r="D4" s="18" t="s">
        <v>40</v>
      </c>
      <c r="E4" s="9">
        <v>150</v>
      </c>
      <c r="F4" s="13">
        <v>25.91</v>
      </c>
      <c r="G4" s="13">
        <v>313</v>
      </c>
      <c r="H4" s="13">
        <f>13.84*150/150</f>
        <v>13.84</v>
      </c>
      <c r="I4" s="13">
        <f>13.14*150/150</f>
        <v>13.14</v>
      </c>
      <c r="J4" s="24">
        <f>35.02*150/150</f>
        <v>35.020000000000003</v>
      </c>
    </row>
    <row r="5" spans="1:14" x14ac:dyDescent="0.3">
      <c r="A5" s="40" t="s">
        <v>48</v>
      </c>
      <c r="B5" s="1" t="s">
        <v>12</v>
      </c>
      <c r="C5" s="22">
        <v>57</v>
      </c>
      <c r="D5" s="19" t="s">
        <v>41</v>
      </c>
      <c r="E5" s="10">
        <v>200</v>
      </c>
      <c r="F5" s="14">
        <v>1.42</v>
      </c>
      <c r="G5" s="14">
        <v>60</v>
      </c>
      <c r="H5" s="14">
        <v>0.1</v>
      </c>
      <c r="I5" s="14">
        <v>0</v>
      </c>
      <c r="J5" s="25">
        <v>5</v>
      </c>
    </row>
    <row r="6" spans="1:14" x14ac:dyDescent="0.3">
      <c r="A6" s="5"/>
      <c r="B6" s="1" t="s">
        <v>20</v>
      </c>
      <c r="C6" s="22" t="s">
        <v>24</v>
      </c>
      <c r="D6" s="19" t="s">
        <v>25</v>
      </c>
      <c r="E6" s="10">
        <v>27</v>
      </c>
      <c r="F6" s="14">
        <v>1.0900000000000001</v>
      </c>
      <c r="G6" s="14">
        <v>54</v>
      </c>
      <c r="H6" s="14">
        <f>1.47*27/30</f>
        <v>1.323</v>
      </c>
      <c r="I6" s="14">
        <f>0.3*27/30</f>
        <v>0.26999999999999996</v>
      </c>
      <c r="J6" s="25">
        <f>13.44*27/30</f>
        <v>12.096</v>
      </c>
    </row>
    <row r="7" spans="1:14" x14ac:dyDescent="0.3">
      <c r="A7" s="5"/>
      <c r="B7" s="2"/>
      <c r="C7" s="22" t="s">
        <v>24</v>
      </c>
      <c r="D7" s="19" t="s">
        <v>31</v>
      </c>
      <c r="E7" s="10">
        <v>27</v>
      </c>
      <c r="F7" s="14">
        <v>1.44</v>
      </c>
      <c r="G7" s="14">
        <v>56.16</v>
      </c>
      <c r="H7" s="14">
        <f>2.4*27/30</f>
        <v>2.1599999999999997</v>
      </c>
      <c r="I7" s="14">
        <f>0.45*27/30</f>
        <v>0.40500000000000003</v>
      </c>
      <c r="J7" s="25">
        <f>11.37*27/30</f>
        <v>10.232999999999999</v>
      </c>
    </row>
    <row r="8" spans="1:14" x14ac:dyDescent="0.3">
      <c r="A8" s="5"/>
      <c r="B8" s="15" t="s">
        <v>26</v>
      </c>
      <c r="C8" s="23">
        <v>1</v>
      </c>
      <c r="D8" s="20" t="s">
        <v>42</v>
      </c>
      <c r="E8" s="16">
        <v>55</v>
      </c>
      <c r="F8" s="17">
        <v>16.829999999999998</v>
      </c>
      <c r="G8" s="17">
        <v>22</v>
      </c>
      <c r="H8" s="17">
        <f>2.33*55/75</f>
        <v>1.7086666666666668</v>
      </c>
      <c r="I8" s="17">
        <f>0.15*55/75</f>
        <v>0.11</v>
      </c>
      <c r="J8" s="26">
        <f>4.88*55/75</f>
        <v>3.5786666666666664</v>
      </c>
    </row>
    <row r="9" spans="1:14" ht="15" thickBot="1" x14ac:dyDescent="0.35">
      <c r="A9" s="5"/>
      <c r="B9" s="15"/>
      <c r="C9" s="23" t="s">
        <v>24</v>
      </c>
      <c r="D9" s="20" t="s">
        <v>43</v>
      </c>
      <c r="E9" s="16">
        <v>19</v>
      </c>
      <c r="F9" s="17">
        <v>1.91</v>
      </c>
      <c r="G9" s="17">
        <v>72.37</v>
      </c>
      <c r="H9" s="17">
        <v>3.53</v>
      </c>
      <c r="I9" s="17">
        <v>9.8800000000000008</v>
      </c>
      <c r="J9" s="26">
        <v>3.53</v>
      </c>
    </row>
    <row r="10" spans="1:14" s="28" customFormat="1" x14ac:dyDescent="0.3">
      <c r="A10" s="38" t="s">
        <v>50</v>
      </c>
      <c r="B10" s="57"/>
      <c r="C10" s="51">
        <v>63</v>
      </c>
      <c r="D10" s="48" t="s">
        <v>53</v>
      </c>
      <c r="E10" s="42">
        <v>200</v>
      </c>
      <c r="F10" s="45">
        <v>15.78</v>
      </c>
      <c r="G10" s="45">
        <v>106</v>
      </c>
      <c r="H10" s="45">
        <v>5.8</v>
      </c>
      <c r="I10" s="45">
        <v>5</v>
      </c>
      <c r="J10" s="54">
        <v>8</v>
      </c>
    </row>
    <row r="11" spans="1:14" s="28" customFormat="1" ht="15" thickBot="1" x14ac:dyDescent="0.35">
      <c r="A11" s="41"/>
      <c r="B11" s="36"/>
      <c r="C11" s="53">
        <v>44</v>
      </c>
      <c r="D11" s="50" t="s">
        <v>54</v>
      </c>
      <c r="E11" s="44">
        <v>100</v>
      </c>
      <c r="F11" s="47">
        <v>20.66</v>
      </c>
      <c r="G11" s="47">
        <v>356.67</v>
      </c>
      <c r="H11" s="47">
        <f>10.5*100/100</f>
        <v>10.5</v>
      </c>
      <c r="I11" s="47">
        <f>10.33*100/100</f>
        <v>10.33</v>
      </c>
      <c r="J11" s="56">
        <f>55.33*100/100</f>
        <v>55.33</v>
      </c>
    </row>
    <row r="12" spans="1:14" x14ac:dyDescent="0.3">
      <c r="A12" s="38" t="s">
        <v>13</v>
      </c>
      <c r="B12" s="39" t="s">
        <v>14</v>
      </c>
      <c r="C12" s="51">
        <v>4</v>
      </c>
      <c r="D12" s="48" t="s">
        <v>44</v>
      </c>
      <c r="E12" s="42">
        <v>30</v>
      </c>
      <c r="F12" s="45">
        <v>9.36</v>
      </c>
      <c r="G12" s="45">
        <v>4.2</v>
      </c>
      <c r="H12" s="45">
        <f>0.48*30/60</f>
        <v>0.23999999999999996</v>
      </c>
      <c r="I12" s="45">
        <f>0.06*30/60</f>
        <v>2.9999999999999995E-2</v>
      </c>
      <c r="J12" s="54">
        <f>1.5*30/60</f>
        <v>0.75</v>
      </c>
    </row>
    <row r="13" spans="1:14" ht="28.8" x14ac:dyDescent="0.3">
      <c r="A13" s="40" t="s">
        <v>48</v>
      </c>
      <c r="B13" s="37" t="s">
        <v>15</v>
      </c>
      <c r="C13" s="52">
        <v>22</v>
      </c>
      <c r="D13" s="49" t="s">
        <v>45</v>
      </c>
      <c r="E13" s="43">
        <v>255</v>
      </c>
      <c r="F13" s="46">
        <v>8.99</v>
      </c>
      <c r="G13" s="46">
        <v>108.5</v>
      </c>
      <c r="H13" s="46">
        <v>1.75</v>
      </c>
      <c r="I13" s="46">
        <v>6.05</v>
      </c>
      <c r="J13" s="55">
        <v>11.86</v>
      </c>
    </row>
    <row r="14" spans="1:14" x14ac:dyDescent="0.3">
      <c r="A14" s="40"/>
      <c r="B14" s="37" t="s">
        <v>16</v>
      </c>
      <c r="C14" s="52">
        <v>39</v>
      </c>
      <c r="D14" s="49" t="s">
        <v>46</v>
      </c>
      <c r="E14" s="43">
        <v>190</v>
      </c>
      <c r="F14" s="46">
        <v>40.89</v>
      </c>
      <c r="G14" s="46">
        <v>244.41</v>
      </c>
      <c r="H14" s="46">
        <f>13.43*190/220</f>
        <v>11.598636363636363</v>
      </c>
      <c r="I14" s="46">
        <f>17.52*190/220</f>
        <v>15.130909090909089</v>
      </c>
      <c r="J14" s="55">
        <f>16.06*190/220</f>
        <v>13.87</v>
      </c>
    </row>
    <row r="15" spans="1:14" x14ac:dyDescent="0.3">
      <c r="A15" s="40"/>
      <c r="B15" s="37" t="s">
        <v>30</v>
      </c>
      <c r="C15" s="52">
        <v>25</v>
      </c>
      <c r="D15" s="49" t="s">
        <v>47</v>
      </c>
      <c r="E15" s="43">
        <v>200</v>
      </c>
      <c r="F15" s="46">
        <v>10.55</v>
      </c>
      <c r="G15" s="46">
        <v>136</v>
      </c>
      <c r="H15" s="46">
        <v>0.6</v>
      </c>
      <c r="I15" s="46">
        <v>0</v>
      </c>
      <c r="J15" s="55">
        <v>33</v>
      </c>
      <c r="M15" s="66"/>
      <c r="N15" s="66"/>
    </row>
    <row r="16" spans="1:14" x14ac:dyDescent="0.3">
      <c r="A16" s="40"/>
      <c r="B16" s="37" t="s">
        <v>21</v>
      </c>
      <c r="C16" s="52" t="s">
        <v>24</v>
      </c>
      <c r="D16" s="49" t="s">
        <v>31</v>
      </c>
      <c r="E16" s="43">
        <v>33</v>
      </c>
      <c r="F16" s="46">
        <v>1.35</v>
      </c>
      <c r="G16" s="46">
        <v>66</v>
      </c>
      <c r="H16" s="46">
        <f>2.4*33/30</f>
        <v>2.64</v>
      </c>
      <c r="I16" s="46">
        <f>0.45*33/30</f>
        <v>0.495</v>
      </c>
      <c r="J16" s="55">
        <f>11.37*33/30</f>
        <v>12.507</v>
      </c>
      <c r="M16" s="66"/>
      <c r="N16" s="66"/>
    </row>
    <row r="17" spans="1:14" ht="15" thickBot="1" x14ac:dyDescent="0.35">
      <c r="A17" s="41"/>
      <c r="B17" s="27" t="s">
        <v>18</v>
      </c>
      <c r="C17" s="53" t="s">
        <v>24</v>
      </c>
      <c r="D17" s="50" t="s">
        <v>25</v>
      </c>
      <c r="E17" s="44">
        <v>33</v>
      </c>
      <c r="F17" s="47">
        <v>1.76</v>
      </c>
      <c r="G17" s="47">
        <v>68.64</v>
      </c>
      <c r="H17" s="47">
        <f>1.47*33/30</f>
        <v>1.617</v>
      </c>
      <c r="I17" s="47">
        <f>0.3*33/30</f>
        <v>0.33</v>
      </c>
      <c r="J17" s="56">
        <f>13.44*33/30</f>
        <v>14.783999999999999</v>
      </c>
      <c r="M17" s="66"/>
      <c r="N17" s="66"/>
    </row>
    <row r="18" spans="1:14" x14ac:dyDescent="0.3">
      <c r="A18" s="38" t="s">
        <v>10</v>
      </c>
      <c r="B18" s="39" t="s">
        <v>11</v>
      </c>
      <c r="C18" s="51">
        <v>32</v>
      </c>
      <c r="D18" s="48" t="s">
        <v>40</v>
      </c>
      <c r="E18" s="42">
        <v>180</v>
      </c>
      <c r="F18" s="45">
        <v>30.99</v>
      </c>
      <c r="G18" s="45">
        <v>375.6</v>
      </c>
      <c r="H18" s="45">
        <f>13.84*180/150</f>
        <v>16.608000000000001</v>
      </c>
      <c r="I18" s="45">
        <f>13.14*180/150</f>
        <v>15.768000000000002</v>
      </c>
      <c r="J18" s="54">
        <f>35.02*180/150</f>
        <v>42.024000000000001</v>
      </c>
      <c r="M18" s="66"/>
      <c r="N18" s="66"/>
    </row>
    <row r="19" spans="1:14" x14ac:dyDescent="0.3">
      <c r="A19" s="40" t="s">
        <v>49</v>
      </c>
      <c r="B19" s="37" t="s">
        <v>12</v>
      </c>
      <c r="C19" s="52">
        <v>57</v>
      </c>
      <c r="D19" s="49" t="s">
        <v>41</v>
      </c>
      <c r="E19" s="43">
        <v>200</v>
      </c>
      <c r="F19" s="46">
        <v>1.42</v>
      </c>
      <c r="G19" s="46">
        <v>60</v>
      </c>
      <c r="H19" s="46">
        <v>0.1</v>
      </c>
      <c r="I19" s="46">
        <v>0</v>
      </c>
      <c r="J19" s="55">
        <v>5</v>
      </c>
      <c r="M19" s="67"/>
      <c r="N19" s="67"/>
    </row>
    <row r="20" spans="1:14" x14ac:dyDescent="0.3">
      <c r="A20" s="40"/>
      <c r="B20" s="37" t="s">
        <v>20</v>
      </c>
      <c r="C20" s="52" t="s">
        <v>24</v>
      </c>
      <c r="D20" s="49" t="s">
        <v>25</v>
      </c>
      <c r="E20" s="43">
        <v>40</v>
      </c>
      <c r="F20" s="46">
        <v>1.65</v>
      </c>
      <c r="G20" s="46">
        <f>60*40/30</f>
        <v>80</v>
      </c>
      <c r="H20" s="46">
        <f>1.47*40/30</f>
        <v>1.96</v>
      </c>
      <c r="I20" s="46">
        <f>0.3*40/30</f>
        <v>0.4</v>
      </c>
      <c r="J20" s="55">
        <f>13.44*40/30</f>
        <v>17.920000000000002</v>
      </c>
      <c r="M20" s="66"/>
      <c r="N20" s="66"/>
    </row>
    <row r="21" spans="1:14" x14ac:dyDescent="0.3">
      <c r="A21" s="40"/>
      <c r="B21" s="29"/>
      <c r="C21" s="52" t="s">
        <v>24</v>
      </c>
      <c r="D21" s="49" t="s">
        <v>31</v>
      </c>
      <c r="E21" s="43">
        <v>40</v>
      </c>
      <c r="F21" s="46">
        <v>2.13</v>
      </c>
      <c r="G21" s="46">
        <f>62.4*40/30</f>
        <v>83.2</v>
      </c>
      <c r="H21" s="46">
        <f>2.4*40/30</f>
        <v>3.2</v>
      </c>
      <c r="I21" s="46">
        <f>0.45*40/30</f>
        <v>0.6</v>
      </c>
      <c r="J21" s="55">
        <f>11.37*40/30</f>
        <v>15.159999999999998</v>
      </c>
      <c r="M21" s="66"/>
      <c r="N21" s="66"/>
    </row>
    <row r="22" spans="1:14" x14ac:dyDescent="0.3">
      <c r="A22" s="40"/>
      <c r="B22" s="30" t="s">
        <v>26</v>
      </c>
      <c r="C22" s="34">
        <v>1</v>
      </c>
      <c r="D22" s="33" t="s">
        <v>42</v>
      </c>
      <c r="E22" s="31">
        <v>60</v>
      </c>
      <c r="F22" s="32">
        <v>18.399999999999999</v>
      </c>
      <c r="G22" s="32">
        <v>24</v>
      </c>
      <c r="H22" s="32">
        <f>2.33*60/75</f>
        <v>1.8640000000000001</v>
      </c>
      <c r="I22" s="32">
        <f>0.15*60/75</f>
        <v>0.12</v>
      </c>
      <c r="J22" s="35">
        <f>4.88*60/75</f>
        <v>3.9040000000000004</v>
      </c>
    </row>
    <row r="23" spans="1:14" ht="15" thickBot="1" x14ac:dyDescent="0.35">
      <c r="A23" s="40"/>
      <c r="B23" s="30"/>
      <c r="C23" s="34" t="s">
        <v>24</v>
      </c>
      <c r="D23" s="33" t="s">
        <v>43</v>
      </c>
      <c r="E23" s="31">
        <v>19</v>
      </c>
      <c r="F23" s="32">
        <v>1.91</v>
      </c>
      <c r="G23" s="32">
        <v>72.37</v>
      </c>
      <c r="H23" s="32">
        <v>3.53</v>
      </c>
      <c r="I23" s="32">
        <v>9.8800000000000008</v>
      </c>
      <c r="J23" s="35">
        <v>3.53</v>
      </c>
    </row>
    <row r="24" spans="1:14" s="28" customFormat="1" x14ac:dyDescent="0.3">
      <c r="A24" s="38" t="s">
        <v>50</v>
      </c>
      <c r="B24" s="57"/>
      <c r="C24" s="51">
        <v>63</v>
      </c>
      <c r="D24" s="48" t="s">
        <v>53</v>
      </c>
      <c r="E24" s="42">
        <v>200</v>
      </c>
      <c r="F24" s="45">
        <v>15.78</v>
      </c>
      <c r="G24" s="45">
        <v>106</v>
      </c>
      <c r="H24" s="45">
        <v>5.8</v>
      </c>
      <c r="I24" s="45">
        <v>5</v>
      </c>
      <c r="J24" s="54">
        <v>8</v>
      </c>
    </row>
    <row r="25" spans="1:14" s="28" customFormat="1" ht="15" thickBot="1" x14ac:dyDescent="0.35">
      <c r="A25" s="41"/>
      <c r="B25" s="36"/>
      <c r="C25" s="53">
        <v>44</v>
      </c>
      <c r="D25" s="50" t="s">
        <v>54</v>
      </c>
      <c r="E25" s="44">
        <v>130</v>
      </c>
      <c r="F25" s="47">
        <v>26.58</v>
      </c>
      <c r="G25" s="47">
        <v>463.67</v>
      </c>
      <c r="H25" s="47">
        <f>10.5*130/100</f>
        <v>13.65</v>
      </c>
      <c r="I25" s="47">
        <f>10.33*130/100</f>
        <v>13.429</v>
      </c>
      <c r="J25" s="56">
        <f>55.33*130/100</f>
        <v>71.929000000000002</v>
      </c>
    </row>
    <row r="26" spans="1:14" x14ac:dyDescent="0.3">
      <c r="A26" s="38" t="s">
        <v>13</v>
      </c>
      <c r="B26" s="39" t="s">
        <v>14</v>
      </c>
      <c r="C26" s="51">
        <v>4</v>
      </c>
      <c r="D26" s="48" t="s">
        <v>44</v>
      </c>
      <c r="E26" s="42">
        <v>45</v>
      </c>
      <c r="F26" s="45">
        <v>14.04</v>
      </c>
      <c r="G26" s="45">
        <f>8.4*45/60</f>
        <v>6.3</v>
      </c>
      <c r="H26" s="45">
        <f>0.48*45/60</f>
        <v>0.36</v>
      </c>
      <c r="I26" s="45">
        <f>0.06*45/60</f>
        <v>4.4999999999999998E-2</v>
      </c>
      <c r="J26" s="54">
        <f>1.5*45/60</f>
        <v>1.125</v>
      </c>
    </row>
    <row r="27" spans="1:14" ht="28.8" x14ac:dyDescent="0.3">
      <c r="A27" s="40" t="s">
        <v>49</v>
      </c>
      <c r="B27" s="37" t="s">
        <v>15</v>
      </c>
      <c r="C27" s="52">
        <v>22</v>
      </c>
      <c r="D27" s="49" t="s">
        <v>45</v>
      </c>
      <c r="E27" s="43">
        <v>255</v>
      </c>
      <c r="F27" s="46">
        <v>8.99</v>
      </c>
      <c r="G27" s="46">
        <v>108.5</v>
      </c>
      <c r="H27" s="46">
        <v>1.75</v>
      </c>
      <c r="I27" s="46">
        <v>6.05</v>
      </c>
      <c r="J27" s="55">
        <v>11.86</v>
      </c>
    </row>
    <row r="28" spans="1:14" x14ac:dyDescent="0.3">
      <c r="A28" s="40"/>
      <c r="B28" s="37" t="s">
        <v>16</v>
      </c>
      <c r="C28" s="52">
        <v>39</v>
      </c>
      <c r="D28" s="49" t="s">
        <v>46</v>
      </c>
      <c r="E28" s="43">
        <f>180+35</f>
        <v>215</v>
      </c>
      <c r="F28" s="46">
        <v>47.2</v>
      </c>
      <c r="G28" s="46">
        <v>276.57</v>
      </c>
      <c r="H28" s="46">
        <f>13.43*215/220</f>
        <v>13.124772727272726</v>
      </c>
      <c r="I28" s="46">
        <f>17.52*215/220</f>
        <v>17.121818181818181</v>
      </c>
      <c r="J28" s="55">
        <f>16.06*215/220</f>
        <v>15.694999999999999</v>
      </c>
    </row>
    <row r="29" spans="1:14" x14ac:dyDescent="0.3">
      <c r="A29" s="40"/>
      <c r="B29" s="37" t="s">
        <v>30</v>
      </c>
      <c r="C29" s="52">
        <v>25</v>
      </c>
      <c r="D29" s="49" t="s">
        <v>47</v>
      </c>
      <c r="E29" s="43">
        <v>200</v>
      </c>
      <c r="F29" s="46">
        <v>10.55</v>
      </c>
      <c r="G29" s="46">
        <v>136</v>
      </c>
      <c r="H29" s="46">
        <v>0.6</v>
      </c>
      <c r="I29" s="46">
        <v>0</v>
      </c>
      <c r="J29" s="55">
        <v>33</v>
      </c>
    </row>
    <row r="30" spans="1:14" x14ac:dyDescent="0.3">
      <c r="A30" s="40"/>
      <c r="B30" s="37" t="s">
        <v>21</v>
      </c>
      <c r="C30" s="52" t="s">
        <v>24</v>
      </c>
      <c r="D30" s="49" t="s">
        <v>31</v>
      </c>
      <c r="E30" s="43">
        <v>42</v>
      </c>
      <c r="F30" s="46">
        <v>2.2400000000000002</v>
      </c>
      <c r="G30" s="46">
        <v>87.36</v>
      </c>
      <c r="H30" s="46">
        <f>2.4*42/30</f>
        <v>3.36</v>
      </c>
      <c r="I30" s="46">
        <f>0.45*42/30</f>
        <v>0.63000000000000012</v>
      </c>
      <c r="J30" s="55">
        <f>11.37*42/30</f>
        <v>15.917999999999999</v>
      </c>
    </row>
    <row r="31" spans="1:14" ht="15" thickBot="1" x14ac:dyDescent="0.35">
      <c r="A31" s="41"/>
      <c r="B31" s="27" t="s">
        <v>18</v>
      </c>
      <c r="C31" s="53" t="s">
        <v>24</v>
      </c>
      <c r="D31" s="50" t="s">
        <v>25</v>
      </c>
      <c r="E31" s="44">
        <v>42</v>
      </c>
      <c r="F31" s="47">
        <v>1.7</v>
      </c>
      <c r="G31" s="47">
        <v>84</v>
      </c>
      <c r="H31" s="47">
        <f>1.47*42/30</f>
        <v>2.0580000000000003</v>
      </c>
      <c r="I31" s="47">
        <f>0.3*42/30</f>
        <v>0.42</v>
      </c>
      <c r="J31" s="56">
        <f>13.44*42/30</f>
        <v>18.815999999999999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B1" sqref="B1:D1"/>
    </sheetView>
  </sheetViews>
  <sheetFormatPr defaultRowHeight="14.4" x14ac:dyDescent="0.3"/>
  <cols>
    <col min="1" max="1" width="12.109375" style="28" customWidth="1"/>
    <col min="2" max="2" width="11.5546875" style="28" customWidth="1"/>
    <col min="3" max="3" width="8" style="28" customWidth="1"/>
    <col min="4" max="4" width="41.5546875" style="28" customWidth="1"/>
    <col min="5" max="5" width="10.109375" style="28" customWidth="1"/>
    <col min="6" max="6" width="8.88671875" style="28"/>
    <col min="7" max="7" width="13.44140625" style="28" customWidth="1"/>
    <col min="8" max="8" width="7.6640625" style="28" customWidth="1"/>
    <col min="9" max="9" width="7.88671875" style="28" customWidth="1"/>
    <col min="10" max="10" width="10.44140625" style="28" customWidth="1"/>
    <col min="11" max="16384" width="8.88671875" style="28"/>
  </cols>
  <sheetData>
    <row r="1" spans="1:10" x14ac:dyDescent="0.3">
      <c r="A1" s="28" t="s">
        <v>0</v>
      </c>
      <c r="B1" s="69" t="s">
        <v>69</v>
      </c>
      <c r="C1" s="70"/>
      <c r="D1" s="71"/>
      <c r="E1" s="28" t="s">
        <v>19</v>
      </c>
      <c r="F1" s="12"/>
      <c r="I1" s="28" t="s">
        <v>1</v>
      </c>
      <c r="J1" s="11">
        <v>44341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38" t="s">
        <v>10</v>
      </c>
      <c r="B4" s="39" t="s">
        <v>11</v>
      </c>
      <c r="C4" s="51">
        <v>37</v>
      </c>
      <c r="D4" s="48" t="s">
        <v>70</v>
      </c>
      <c r="E4" s="42">
        <v>160</v>
      </c>
      <c r="F4" s="45">
        <v>15.65</v>
      </c>
      <c r="G4" s="45">
        <v>220</v>
      </c>
      <c r="H4" s="45">
        <f>9.08*160/150</f>
        <v>9.6853333333333325</v>
      </c>
      <c r="I4" s="45">
        <f>7.58*160/150</f>
        <v>8.0853333333333328</v>
      </c>
      <c r="J4" s="54">
        <f>25.5*160/150</f>
        <v>27.2</v>
      </c>
    </row>
    <row r="5" spans="1:10" x14ac:dyDescent="0.3">
      <c r="A5" s="40" t="s">
        <v>48</v>
      </c>
      <c r="B5" s="37" t="s">
        <v>12</v>
      </c>
      <c r="C5" s="52">
        <v>20</v>
      </c>
      <c r="D5" s="49" t="s">
        <v>71</v>
      </c>
      <c r="E5" s="43">
        <v>200</v>
      </c>
      <c r="F5" s="46">
        <v>4.57</v>
      </c>
      <c r="G5" s="46">
        <v>91</v>
      </c>
      <c r="H5" s="46">
        <v>1.4</v>
      </c>
      <c r="I5" s="46">
        <v>1.6</v>
      </c>
      <c r="J5" s="55">
        <v>17.7</v>
      </c>
    </row>
    <row r="6" spans="1:10" x14ac:dyDescent="0.3">
      <c r="A6" s="40"/>
      <c r="B6" s="37" t="s">
        <v>20</v>
      </c>
      <c r="C6" s="52" t="s">
        <v>24</v>
      </c>
      <c r="D6" s="49" t="s">
        <v>25</v>
      </c>
      <c r="E6" s="43">
        <v>27</v>
      </c>
      <c r="F6" s="46">
        <v>1.08</v>
      </c>
      <c r="G6" s="46">
        <v>54</v>
      </c>
      <c r="H6" s="46">
        <f>0.98*27/20</f>
        <v>1.323</v>
      </c>
      <c r="I6" s="46">
        <f>0.2*27/20</f>
        <v>0.27</v>
      </c>
      <c r="J6" s="55">
        <f>8.95*27/20</f>
        <v>12.0825</v>
      </c>
    </row>
    <row r="7" spans="1:10" x14ac:dyDescent="0.3">
      <c r="A7" s="40"/>
      <c r="B7" s="29"/>
      <c r="C7" s="52" t="s">
        <v>24</v>
      </c>
      <c r="D7" s="49" t="s">
        <v>31</v>
      </c>
      <c r="E7" s="43">
        <v>28</v>
      </c>
      <c r="F7" s="46">
        <v>1.49</v>
      </c>
      <c r="G7" s="46">
        <v>58.24</v>
      </c>
      <c r="H7" s="46">
        <f>1.6*27/20</f>
        <v>2.16</v>
      </c>
      <c r="I7" s="46">
        <f>0.03*27/20</f>
        <v>4.0499999999999994E-2</v>
      </c>
      <c r="J7" s="55">
        <f>8.02*27/20</f>
        <v>10.827</v>
      </c>
    </row>
    <row r="8" spans="1:10" x14ac:dyDescent="0.3">
      <c r="A8" s="40"/>
      <c r="B8" s="30" t="s">
        <v>26</v>
      </c>
      <c r="C8" s="34">
        <v>3</v>
      </c>
      <c r="D8" s="33" t="s">
        <v>27</v>
      </c>
      <c r="E8" s="31">
        <v>15</v>
      </c>
      <c r="F8" s="32">
        <v>10.56</v>
      </c>
      <c r="G8" s="32">
        <v>97.05</v>
      </c>
      <c r="H8" s="32">
        <f>0.08*1.5</f>
        <v>0.12</v>
      </c>
      <c r="I8" s="32">
        <f>7.15*1.5</f>
        <v>10.725000000000001</v>
      </c>
      <c r="J8" s="35">
        <f>0.12*1.5</f>
        <v>0.18</v>
      </c>
    </row>
    <row r="9" spans="1:10" x14ac:dyDescent="0.3">
      <c r="A9" s="40"/>
      <c r="B9" s="30"/>
      <c r="C9" s="52">
        <v>27</v>
      </c>
      <c r="D9" s="49" t="s">
        <v>72</v>
      </c>
      <c r="E9" s="43">
        <v>60</v>
      </c>
      <c r="F9" s="46">
        <v>6.78</v>
      </c>
      <c r="G9" s="46">
        <v>71.400000000000006</v>
      </c>
      <c r="H9" s="46">
        <v>1.1399999999999999</v>
      </c>
      <c r="I9" s="46">
        <v>5.34</v>
      </c>
      <c r="J9" s="46">
        <v>4.62</v>
      </c>
    </row>
    <row r="10" spans="1:10" ht="15" thickBot="1" x14ac:dyDescent="0.35">
      <c r="A10" s="40"/>
      <c r="B10" s="30"/>
      <c r="C10" s="52" t="s">
        <v>24</v>
      </c>
      <c r="D10" s="33" t="s">
        <v>73</v>
      </c>
      <c r="E10" s="31">
        <v>24</v>
      </c>
      <c r="F10" s="32">
        <v>8.4700000000000006</v>
      </c>
      <c r="G10" s="32">
        <v>76.27</v>
      </c>
      <c r="H10" s="32">
        <f>2.14*24/40</f>
        <v>1.284</v>
      </c>
      <c r="I10" s="32">
        <f>2.8*24/40</f>
        <v>1.6799999999999997</v>
      </c>
      <c r="J10" s="35">
        <f>23.34*24/40</f>
        <v>14.004</v>
      </c>
    </row>
    <row r="11" spans="1:10" x14ac:dyDescent="0.3">
      <c r="A11" s="38" t="s">
        <v>50</v>
      </c>
      <c r="B11" s="57"/>
      <c r="C11" s="51">
        <v>25</v>
      </c>
      <c r="D11" s="48" t="s">
        <v>47</v>
      </c>
      <c r="E11" s="42">
        <v>200</v>
      </c>
      <c r="F11" s="45">
        <v>10.55</v>
      </c>
      <c r="G11" s="45">
        <v>136</v>
      </c>
      <c r="H11" s="45">
        <v>0.6</v>
      </c>
      <c r="I11" s="45">
        <v>0</v>
      </c>
      <c r="J11" s="54">
        <v>33</v>
      </c>
    </row>
    <row r="12" spans="1:10" ht="15" thickBot="1" x14ac:dyDescent="0.35">
      <c r="A12" s="40" t="s">
        <v>48</v>
      </c>
      <c r="B12" s="36"/>
      <c r="C12" s="53">
        <v>56</v>
      </c>
      <c r="D12" s="50" t="s">
        <v>74</v>
      </c>
      <c r="E12" s="44">
        <v>85</v>
      </c>
      <c r="F12" s="47">
        <v>25.89</v>
      </c>
      <c r="G12" s="47">
        <v>208.25</v>
      </c>
      <c r="H12" s="47">
        <f>12.45*0.85</f>
        <v>10.5825</v>
      </c>
      <c r="I12" s="47">
        <f>8.59*0.85</f>
        <v>7.3014999999999999</v>
      </c>
      <c r="J12" s="56">
        <f>6.33*0.85</f>
        <v>5.3804999999999996</v>
      </c>
    </row>
    <row r="13" spans="1:10" x14ac:dyDescent="0.3">
      <c r="A13" s="38" t="s">
        <v>13</v>
      </c>
      <c r="B13" s="39" t="s">
        <v>14</v>
      </c>
      <c r="C13" s="51">
        <v>1</v>
      </c>
      <c r="D13" s="48" t="s">
        <v>75</v>
      </c>
      <c r="E13" s="42">
        <v>35</v>
      </c>
      <c r="F13" s="45">
        <v>9.67</v>
      </c>
      <c r="G13" s="45">
        <v>14</v>
      </c>
      <c r="H13" s="45">
        <f>1.86*35/60</f>
        <v>1.0850000000000002</v>
      </c>
      <c r="I13" s="45">
        <f>0.12*35/60</f>
        <v>7.0000000000000007E-2</v>
      </c>
      <c r="J13" s="54">
        <f>3.9*35/60</f>
        <v>2.2749999999999999</v>
      </c>
    </row>
    <row r="14" spans="1:10" x14ac:dyDescent="0.3">
      <c r="A14" s="40" t="s">
        <v>48</v>
      </c>
      <c r="B14" s="37" t="s">
        <v>15</v>
      </c>
      <c r="C14" s="68" t="s">
        <v>76</v>
      </c>
      <c r="D14" s="49" t="s">
        <v>77</v>
      </c>
      <c r="E14" s="43">
        <v>250</v>
      </c>
      <c r="F14" s="46">
        <v>17.100000000000001</v>
      </c>
      <c r="G14" s="46">
        <v>167.54</v>
      </c>
      <c r="H14" s="46">
        <v>8.33</v>
      </c>
      <c r="I14" s="46">
        <v>5.79</v>
      </c>
      <c r="J14" s="55">
        <v>20.440000000000001</v>
      </c>
    </row>
    <row r="15" spans="1:10" x14ac:dyDescent="0.3">
      <c r="A15" s="40"/>
      <c r="B15" s="37" t="s">
        <v>16</v>
      </c>
      <c r="C15" s="52">
        <v>51</v>
      </c>
      <c r="D15" s="49" t="s">
        <v>78</v>
      </c>
      <c r="E15" s="43">
        <v>90</v>
      </c>
      <c r="F15" s="46">
        <v>26.56</v>
      </c>
      <c r="G15" s="46">
        <v>94.5</v>
      </c>
      <c r="H15" s="46">
        <v>8.66</v>
      </c>
      <c r="I15" s="46">
        <v>4.47</v>
      </c>
      <c r="J15" s="55">
        <v>4.6399999999999997</v>
      </c>
    </row>
    <row r="16" spans="1:10" x14ac:dyDescent="0.3">
      <c r="A16" s="40"/>
      <c r="B16" s="37" t="s">
        <v>17</v>
      </c>
      <c r="C16" s="52">
        <v>45</v>
      </c>
      <c r="D16" s="49" t="s">
        <v>79</v>
      </c>
      <c r="E16" s="43">
        <v>150</v>
      </c>
      <c r="F16" s="46">
        <v>10.36</v>
      </c>
      <c r="G16" s="46">
        <v>204.3</v>
      </c>
      <c r="H16" s="46">
        <v>3.86</v>
      </c>
      <c r="I16" s="46">
        <v>6.06</v>
      </c>
      <c r="J16" s="55">
        <v>33.6</v>
      </c>
    </row>
    <row r="17" spans="1:10" x14ac:dyDescent="0.3">
      <c r="A17" s="40"/>
      <c r="B17" s="37" t="s">
        <v>30</v>
      </c>
      <c r="C17" s="52">
        <v>35</v>
      </c>
      <c r="D17" s="49" t="s">
        <v>80</v>
      </c>
      <c r="E17" s="43">
        <v>200</v>
      </c>
      <c r="F17" s="46">
        <v>6.37</v>
      </c>
      <c r="G17" s="46">
        <v>97</v>
      </c>
      <c r="H17" s="46">
        <v>0.7</v>
      </c>
      <c r="I17" s="46">
        <v>0.3</v>
      </c>
      <c r="J17" s="55">
        <v>22.8</v>
      </c>
    </row>
    <row r="18" spans="1:10" x14ac:dyDescent="0.3">
      <c r="A18" s="40"/>
      <c r="B18" s="37" t="s">
        <v>21</v>
      </c>
      <c r="C18" s="52" t="s">
        <v>24</v>
      </c>
      <c r="D18" s="49" t="s">
        <v>31</v>
      </c>
      <c r="E18" s="43">
        <v>30</v>
      </c>
      <c r="F18" s="46">
        <v>1.6</v>
      </c>
      <c r="G18" s="46">
        <v>62.4</v>
      </c>
      <c r="H18" s="46">
        <v>2.4</v>
      </c>
      <c r="I18" s="46">
        <v>0.45</v>
      </c>
      <c r="J18" s="55">
        <v>11.37</v>
      </c>
    </row>
    <row r="19" spans="1:10" ht="15" thickBot="1" x14ac:dyDescent="0.35">
      <c r="A19" s="41"/>
      <c r="B19" s="27" t="s">
        <v>18</v>
      </c>
      <c r="C19" s="53" t="s">
        <v>24</v>
      </c>
      <c r="D19" s="50" t="s">
        <v>25</v>
      </c>
      <c r="E19" s="44">
        <v>30</v>
      </c>
      <c r="F19" s="47">
        <v>1.24</v>
      </c>
      <c r="G19" s="47">
        <v>60</v>
      </c>
      <c r="H19" s="47">
        <v>1.47</v>
      </c>
      <c r="I19" s="47">
        <v>0.3</v>
      </c>
      <c r="J19" s="56">
        <v>13.44</v>
      </c>
    </row>
    <row r="20" spans="1:10" x14ac:dyDescent="0.3">
      <c r="A20" s="38" t="s">
        <v>10</v>
      </c>
      <c r="B20" s="39" t="s">
        <v>11</v>
      </c>
      <c r="C20" s="51">
        <v>37</v>
      </c>
      <c r="D20" s="48" t="s">
        <v>70</v>
      </c>
      <c r="E20" s="42">
        <v>200</v>
      </c>
      <c r="F20" s="45">
        <v>18.920000000000002</v>
      </c>
      <c r="G20" s="45">
        <v>220</v>
      </c>
      <c r="H20" s="45">
        <f>9.08*200/150</f>
        <v>12.106666666666667</v>
      </c>
      <c r="I20" s="45">
        <f>7.58*200/150</f>
        <v>10.106666666666667</v>
      </c>
      <c r="J20" s="54">
        <f>25.5*200/150</f>
        <v>34</v>
      </c>
    </row>
    <row r="21" spans="1:10" x14ac:dyDescent="0.3">
      <c r="A21" s="40" t="s">
        <v>49</v>
      </c>
      <c r="B21" s="37" t="s">
        <v>12</v>
      </c>
      <c r="C21" s="52">
        <v>20</v>
      </c>
      <c r="D21" s="49" t="s">
        <v>71</v>
      </c>
      <c r="E21" s="43">
        <v>200</v>
      </c>
      <c r="F21" s="46">
        <v>4.57</v>
      </c>
      <c r="G21" s="46">
        <v>91</v>
      </c>
      <c r="H21" s="46">
        <v>1.4</v>
      </c>
      <c r="I21" s="46">
        <v>1.6</v>
      </c>
      <c r="J21" s="55">
        <v>17.7</v>
      </c>
    </row>
    <row r="22" spans="1:10" x14ac:dyDescent="0.3">
      <c r="A22" s="40"/>
      <c r="B22" s="37" t="s">
        <v>20</v>
      </c>
      <c r="C22" s="52" t="s">
        <v>24</v>
      </c>
      <c r="D22" s="49" t="s">
        <v>25</v>
      </c>
      <c r="E22" s="43">
        <v>34</v>
      </c>
      <c r="F22" s="46">
        <v>1.39</v>
      </c>
      <c r="G22" s="46">
        <v>68</v>
      </c>
      <c r="H22" s="46">
        <f>0.98*34/20</f>
        <v>1.6659999999999999</v>
      </c>
      <c r="I22" s="46">
        <f>0.2*34/20</f>
        <v>0.34</v>
      </c>
      <c r="J22" s="55">
        <f>8.95*34/20</f>
        <v>15.214999999999998</v>
      </c>
    </row>
    <row r="23" spans="1:10" x14ac:dyDescent="0.3">
      <c r="A23" s="40"/>
      <c r="B23" s="29"/>
      <c r="C23" s="52" t="s">
        <v>24</v>
      </c>
      <c r="D23" s="49" t="s">
        <v>31</v>
      </c>
      <c r="E23" s="43">
        <v>35</v>
      </c>
      <c r="F23" s="46">
        <v>1.87</v>
      </c>
      <c r="G23" s="46">
        <v>72.8</v>
      </c>
      <c r="H23" s="46">
        <f>1.6*35/20</f>
        <v>2.8</v>
      </c>
      <c r="I23" s="46">
        <f>0.03*35/20</f>
        <v>5.2500000000000005E-2</v>
      </c>
      <c r="J23" s="55">
        <f>8.02*35/20</f>
        <v>14.035</v>
      </c>
    </row>
    <row r="24" spans="1:10" x14ac:dyDescent="0.3">
      <c r="A24" s="40"/>
      <c r="B24" s="30" t="s">
        <v>26</v>
      </c>
      <c r="C24" s="34">
        <v>3</v>
      </c>
      <c r="D24" s="33" t="s">
        <v>27</v>
      </c>
      <c r="E24" s="31">
        <v>15</v>
      </c>
      <c r="F24" s="32">
        <v>10.56</v>
      </c>
      <c r="G24" s="32">
        <v>97.05</v>
      </c>
      <c r="H24" s="32">
        <f>0.08*1.5</f>
        <v>0.12</v>
      </c>
      <c r="I24" s="32">
        <f>7.15*1.5</f>
        <v>10.725000000000001</v>
      </c>
      <c r="J24" s="35">
        <f>0.12*1.5</f>
        <v>0.18</v>
      </c>
    </row>
    <row r="25" spans="1:10" x14ac:dyDescent="0.3">
      <c r="A25" s="40"/>
      <c r="B25" s="30"/>
      <c r="C25" s="52">
        <v>27</v>
      </c>
      <c r="D25" s="49" t="s">
        <v>72</v>
      </c>
      <c r="E25" s="43">
        <v>95</v>
      </c>
      <c r="F25" s="46">
        <v>10.73</v>
      </c>
      <c r="G25" s="46">
        <v>113.05</v>
      </c>
      <c r="H25" s="46">
        <f>1.14*95/60</f>
        <v>1.8049999999999999</v>
      </c>
      <c r="I25" s="46">
        <f>5.34*95/60</f>
        <v>8.4550000000000001</v>
      </c>
      <c r="J25" s="46">
        <f>4.62*95/60</f>
        <v>7.3150000000000004</v>
      </c>
    </row>
    <row r="26" spans="1:10" ht="15" thickBot="1" x14ac:dyDescent="0.35">
      <c r="A26" s="40"/>
      <c r="B26" s="30"/>
      <c r="C26" s="52" t="s">
        <v>24</v>
      </c>
      <c r="D26" s="33" t="s">
        <v>73</v>
      </c>
      <c r="E26" s="31">
        <v>24</v>
      </c>
      <c r="F26" s="32">
        <v>8.4700000000000006</v>
      </c>
      <c r="G26" s="32">
        <v>76.27</v>
      </c>
      <c r="H26" s="32">
        <f>2.14*24/40</f>
        <v>1.284</v>
      </c>
      <c r="I26" s="32">
        <f>2.8*24/40</f>
        <v>1.6799999999999997</v>
      </c>
      <c r="J26" s="35">
        <f>23.34*24/40</f>
        <v>14.004</v>
      </c>
    </row>
    <row r="27" spans="1:10" x14ac:dyDescent="0.3">
      <c r="A27" s="38" t="s">
        <v>50</v>
      </c>
      <c r="B27" s="57"/>
      <c r="C27" s="51">
        <v>25</v>
      </c>
      <c r="D27" s="48" t="s">
        <v>47</v>
      </c>
      <c r="E27" s="42">
        <v>200</v>
      </c>
      <c r="F27" s="45">
        <v>10.55</v>
      </c>
      <c r="G27" s="45">
        <v>136</v>
      </c>
      <c r="H27" s="45">
        <v>0.6</v>
      </c>
      <c r="I27" s="45">
        <v>0</v>
      </c>
      <c r="J27" s="54">
        <v>33</v>
      </c>
    </row>
    <row r="28" spans="1:10" ht="15" thickBot="1" x14ac:dyDescent="0.35">
      <c r="A28" s="40" t="s">
        <v>49</v>
      </c>
      <c r="B28" s="36"/>
      <c r="C28" s="53">
        <v>56</v>
      </c>
      <c r="D28" s="50" t="s">
        <v>74</v>
      </c>
      <c r="E28" s="44">
        <v>105</v>
      </c>
      <c r="F28" s="47">
        <v>31.81</v>
      </c>
      <c r="G28" s="47">
        <v>257.25</v>
      </c>
      <c r="H28" s="47">
        <f>12.45*1.05</f>
        <v>13.0725</v>
      </c>
      <c r="I28" s="47">
        <f>8.59*1.05</f>
        <v>9.0195000000000007</v>
      </c>
      <c r="J28" s="56">
        <f>6.33*1.05</f>
        <v>6.6465000000000005</v>
      </c>
    </row>
    <row r="29" spans="1:10" x14ac:dyDescent="0.3">
      <c r="A29" s="38" t="s">
        <v>13</v>
      </c>
      <c r="B29" s="39" t="s">
        <v>14</v>
      </c>
      <c r="C29" s="51">
        <v>1</v>
      </c>
      <c r="D29" s="48" t="s">
        <v>75</v>
      </c>
      <c r="E29" s="42">
        <v>55</v>
      </c>
      <c r="F29" s="45">
        <v>15.55</v>
      </c>
      <c r="G29" s="45">
        <v>22</v>
      </c>
      <c r="H29" s="45">
        <f>1.86*55/60</f>
        <v>1.7050000000000003</v>
      </c>
      <c r="I29" s="45">
        <f>0.12*55/60</f>
        <v>0.11</v>
      </c>
      <c r="J29" s="54">
        <f>3.9*55/60</f>
        <v>3.5750000000000002</v>
      </c>
    </row>
    <row r="30" spans="1:10" x14ac:dyDescent="0.3">
      <c r="A30" s="40" t="s">
        <v>49</v>
      </c>
      <c r="B30" s="37" t="s">
        <v>15</v>
      </c>
      <c r="C30" s="68" t="s">
        <v>76</v>
      </c>
      <c r="D30" s="49" t="s">
        <v>77</v>
      </c>
      <c r="E30" s="43">
        <v>250</v>
      </c>
      <c r="F30" s="46">
        <v>17.100000000000001</v>
      </c>
      <c r="G30" s="46">
        <v>167.54</v>
      </c>
      <c r="H30" s="46">
        <v>8.33</v>
      </c>
      <c r="I30" s="46">
        <v>5.79</v>
      </c>
      <c r="J30" s="55">
        <v>20.440000000000001</v>
      </c>
    </row>
    <row r="31" spans="1:10" x14ac:dyDescent="0.3">
      <c r="A31" s="40"/>
      <c r="B31" s="37" t="s">
        <v>16</v>
      </c>
      <c r="C31" s="52">
        <v>51</v>
      </c>
      <c r="D31" s="49" t="s">
        <v>78</v>
      </c>
      <c r="E31" s="43">
        <v>100</v>
      </c>
      <c r="F31" s="46">
        <v>29.51</v>
      </c>
      <c r="G31" s="46">
        <v>105</v>
      </c>
      <c r="H31" s="46">
        <f>8.66*100/90</f>
        <v>9.6222222222222218</v>
      </c>
      <c r="I31" s="46">
        <f>4.47*100/90</f>
        <v>4.9666666666666668</v>
      </c>
      <c r="J31" s="55">
        <f>4.64*100/90</f>
        <v>5.155555555555555</v>
      </c>
    </row>
    <row r="32" spans="1:10" x14ac:dyDescent="0.3">
      <c r="A32" s="40"/>
      <c r="B32" s="37" t="s">
        <v>17</v>
      </c>
      <c r="C32" s="52">
        <v>45</v>
      </c>
      <c r="D32" s="49" t="s">
        <v>79</v>
      </c>
      <c r="E32" s="43">
        <v>180</v>
      </c>
      <c r="F32" s="46">
        <v>12.21</v>
      </c>
      <c r="G32" s="46">
        <v>245.16</v>
      </c>
      <c r="H32" s="46">
        <f>3.86*180/150</f>
        <v>4.6319999999999997</v>
      </c>
      <c r="I32" s="46">
        <f>6.06*180/150</f>
        <v>7.2719999999999994</v>
      </c>
      <c r="J32" s="55">
        <f>33.6*180/150</f>
        <v>40.32</v>
      </c>
    </row>
    <row r="33" spans="1:10" x14ac:dyDescent="0.3">
      <c r="A33" s="40"/>
      <c r="B33" s="37" t="s">
        <v>30</v>
      </c>
      <c r="C33" s="52">
        <v>35</v>
      </c>
      <c r="D33" s="49" t="s">
        <v>80</v>
      </c>
      <c r="E33" s="43">
        <v>200</v>
      </c>
      <c r="F33" s="46">
        <v>6.37</v>
      </c>
      <c r="G33" s="46">
        <v>97</v>
      </c>
      <c r="H33" s="46">
        <v>0.7</v>
      </c>
      <c r="I33" s="46">
        <v>0.3</v>
      </c>
      <c r="J33" s="55">
        <v>22.8</v>
      </c>
    </row>
    <row r="34" spans="1:10" x14ac:dyDescent="0.3">
      <c r="A34" s="40"/>
      <c r="B34" s="37" t="s">
        <v>21</v>
      </c>
      <c r="C34" s="52" t="s">
        <v>24</v>
      </c>
      <c r="D34" s="49" t="s">
        <v>31</v>
      </c>
      <c r="E34" s="43">
        <v>43</v>
      </c>
      <c r="F34" s="46">
        <v>2.25</v>
      </c>
      <c r="G34" s="46">
        <v>89.44</v>
      </c>
      <c r="H34" s="46">
        <f>2.4*43/30</f>
        <v>3.44</v>
      </c>
      <c r="I34" s="46">
        <f>0.45*43/30</f>
        <v>0.64500000000000002</v>
      </c>
      <c r="J34" s="55">
        <f>11.37*43/30</f>
        <v>16.297000000000001</v>
      </c>
    </row>
    <row r="35" spans="1:10" ht="15" thickBot="1" x14ac:dyDescent="0.35">
      <c r="A35" s="41"/>
      <c r="B35" s="27" t="s">
        <v>18</v>
      </c>
      <c r="C35" s="53" t="s">
        <v>24</v>
      </c>
      <c r="D35" s="50" t="s">
        <v>25</v>
      </c>
      <c r="E35" s="44">
        <v>42</v>
      </c>
      <c r="F35" s="47">
        <v>1.73</v>
      </c>
      <c r="G35" s="47">
        <v>84</v>
      </c>
      <c r="H35" s="47">
        <f>1.47*42/30</f>
        <v>2.0580000000000003</v>
      </c>
      <c r="I35" s="47">
        <f>0.3*42/30</f>
        <v>0.42</v>
      </c>
      <c r="J35" s="56">
        <f>13.44*42/30</f>
        <v>18.815999999999999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B1" sqref="B1:D1"/>
    </sheetView>
  </sheetViews>
  <sheetFormatPr defaultRowHeight="14.4" x14ac:dyDescent="0.3"/>
  <cols>
    <col min="1" max="1" width="12.109375" style="28" customWidth="1"/>
    <col min="2" max="2" width="11.5546875" style="28" customWidth="1"/>
    <col min="3" max="3" width="8" style="28" customWidth="1"/>
    <col min="4" max="4" width="41.5546875" style="28" customWidth="1"/>
    <col min="5" max="5" width="10.109375" style="28" customWidth="1"/>
    <col min="6" max="6" width="8.88671875" style="28"/>
    <col min="7" max="7" width="13.44140625" style="28" customWidth="1"/>
    <col min="8" max="8" width="7.6640625" style="28" customWidth="1"/>
    <col min="9" max="9" width="7.88671875" style="28" customWidth="1"/>
    <col min="10" max="10" width="10.44140625" style="28" customWidth="1"/>
    <col min="11" max="16384" width="8.88671875" style="28"/>
  </cols>
  <sheetData>
    <row r="1" spans="1:10" x14ac:dyDescent="0.3">
      <c r="A1" s="28" t="s">
        <v>0</v>
      </c>
      <c r="B1" s="69" t="s">
        <v>69</v>
      </c>
      <c r="C1" s="70"/>
      <c r="D1" s="71"/>
      <c r="E1" s="28" t="s">
        <v>19</v>
      </c>
      <c r="F1" s="12"/>
      <c r="I1" s="28" t="s">
        <v>1</v>
      </c>
      <c r="J1" s="11">
        <v>44342</v>
      </c>
    </row>
    <row r="2" spans="1:10" ht="15" thickBot="1" x14ac:dyDescent="0.35"/>
    <row r="3" spans="1:10" ht="15" thickBot="1" x14ac:dyDescent="0.35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38" t="s">
        <v>10</v>
      </c>
      <c r="B4" s="39" t="s">
        <v>11</v>
      </c>
      <c r="C4" s="51">
        <v>34</v>
      </c>
      <c r="D4" s="48" t="s">
        <v>81</v>
      </c>
      <c r="E4" s="42">
        <v>160</v>
      </c>
      <c r="F4" s="45">
        <v>26.71</v>
      </c>
      <c r="G4" s="45">
        <v>348.8</v>
      </c>
      <c r="H4" s="45">
        <v>15.89</v>
      </c>
      <c r="I4" s="45">
        <v>20.27</v>
      </c>
      <c r="J4" s="54">
        <v>25.71</v>
      </c>
    </row>
    <row r="5" spans="1:10" x14ac:dyDescent="0.3">
      <c r="A5" s="40" t="s">
        <v>48</v>
      </c>
      <c r="B5" s="37" t="s">
        <v>12</v>
      </c>
      <c r="C5" s="52">
        <v>20</v>
      </c>
      <c r="D5" s="49" t="s">
        <v>71</v>
      </c>
      <c r="E5" s="43">
        <v>200</v>
      </c>
      <c r="F5" s="46">
        <v>4.57</v>
      </c>
      <c r="G5" s="46">
        <v>91</v>
      </c>
      <c r="H5" s="46">
        <v>1.4</v>
      </c>
      <c r="I5" s="46">
        <v>1.6</v>
      </c>
      <c r="J5" s="55">
        <v>17.7</v>
      </c>
    </row>
    <row r="6" spans="1:10" x14ac:dyDescent="0.3">
      <c r="A6" s="40"/>
      <c r="B6" s="37" t="s">
        <v>20</v>
      </c>
      <c r="C6" s="52" t="s">
        <v>24</v>
      </c>
      <c r="D6" s="49" t="s">
        <v>25</v>
      </c>
      <c r="E6" s="43">
        <v>31</v>
      </c>
      <c r="F6" s="46">
        <v>1.28</v>
      </c>
      <c r="G6" s="46">
        <v>62</v>
      </c>
      <c r="H6" s="46">
        <f>0.98*31/20</f>
        <v>1.5189999999999999</v>
      </c>
      <c r="I6" s="46">
        <f>0.2*31/20</f>
        <v>0.31</v>
      </c>
      <c r="J6" s="55">
        <f>8.95*31/20</f>
        <v>13.872499999999999</v>
      </c>
    </row>
    <row r="7" spans="1:10" x14ac:dyDescent="0.3">
      <c r="A7" s="40"/>
      <c r="B7" s="29"/>
      <c r="C7" s="52" t="s">
        <v>24</v>
      </c>
      <c r="D7" s="49" t="s">
        <v>31</v>
      </c>
      <c r="E7" s="43">
        <v>32</v>
      </c>
      <c r="F7" s="46">
        <v>1.71</v>
      </c>
      <c r="G7" s="46">
        <v>66.56</v>
      </c>
      <c r="H7" s="46">
        <f>1.68*32/20</f>
        <v>2.6879999999999997</v>
      </c>
      <c r="I7" s="46">
        <f>0.03*32/20</f>
        <v>4.8000000000000001E-2</v>
      </c>
      <c r="J7" s="55">
        <f>8.02*32/20</f>
        <v>12.831999999999999</v>
      </c>
    </row>
    <row r="8" spans="1:10" x14ac:dyDescent="0.3">
      <c r="A8" s="40"/>
      <c r="B8" s="30" t="s">
        <v>26</v>
      </c>
      <c r="C8" s="34">
        <v>4</v>
      </c>
      <c r="D8" s="33" t="s">
        <v>44</v>
      </c>
      <c r="E8" s="31">
        <v>30</v>
      </c>
      <c r="F8" s="32">
        <v>10.25</v>
      </c>
      <c r="G8" s="32">
        <v>7.07</v>
      </c>
      <c r="H8" s="32">
        <f>0.66*30/60</f>
        <v>0.33</v>
      </c>
      <c r="I8" s="32">
        <f>0.12*30/60</f>
        <v>5.9999999999999991E-2</v>
      </c>
      <c r="J8" s="35">
        <f>2.28*30/60</f>
        <v>1.1399999999999999</v>
      </c>
    </row>
    <row r="9" spans="1:10" ht="15" thickBot="1" x14ac:dyDescent="0.35">
      <c r="A9" s="40"/>
      <c r="B9" s="30"/>
      <c r="C9" s="52" t="s">
        <v>24</v>
      </c>
      <c r="D9" s="33" t="s">
        <v>82</v>
      </c>
      <c r="E9" s="31">
        <v>20</v>
      </c>
      <c r="F9" s="32">
        <v>4.09</v>
      </c>
      <c r="G9" s="32">
        <v>63.56</v>
      </c>
      <c r="H9" s="32">
        <f>2.14*20/40</f>
        <v>1.07</v>
      </c>
      <c r="I9" s="32">
        <f>2.8*30/60</f>
        <v>1.4</v>
      </c>
      <c r="J9" s="35">
        <f>23.34*30/60</f>
        <v>11.67</v>
      </c>
    </row>
    <row r="10" spans="1:10" x14ac:dyDescent="0.3">
      <c r="A10" s="38" t="s">
        <v>50</v>
      </c>
      <c r="B10" s="57"/>
      <c r="C10" s="51">
        <v>63</v>
      </c>
      <c r="D10" s="48" t="s">
        <v>83</v>
      </c>
      <c r="E10" s="42">
        <v>200</v>
      </c>
      <c r="F10" s="45">
        <v>22.45</v>
      </c>
      <c r="G10" s="45">
        <v>106</v>
      </c>
      <c r="H10" s="45">
        <v>5.8</v>
      </c>
      <c r="I10" s="45">
        <v>5</v>
      </c>
      <c r="J10" s="54">
        <v>8</v>
      </c>
    </row>
    <row r="11" spans="1:10" ht="15" thickBot="1" x14ac:dyDescent="0.35">
      <c r="A11" s="40" t="s">
        <v>48</v>
      </c>
      <c r="B11" s="36"/>
      <c r="C11" s="53">
        <v>62</v>
      </c>
      <c r="D11" s="50" t="s">
        <v>60</v>
      </c>
      <c r="E11" s="44">
        <v>80</v>
      </c>
      <c r="F11" s="47">
        <v>13.99</v>
      </c>
      <c r="G11" s="47">
        <f>271.84*80/100</f>
        <v>217.47199999999998</v>
      </c>
      <c r="H11" s="47">
        <f>10.49*0.8</f>
        <v>8.3920000000000012</v>
      </c>
      <c r="I11" s="47">
        <f>11.32*0.8</f>
        <v>9.0560000000000009</v>
      </c>
      <c r="J11" s="56">
        <f>32*0.8</f>
        <v>25.6</v>
      </c>
    </row>
    <row r="12" spans="1:10" x14ac:dyDescent="0.3">
      <c r="A12" s="38" t="s">
        <v>13</v>
      </c>
      <c r="B12" s="39" t="s">
        <v>14</v>
      </c>
      <c r="C12" s="51">
        <v>1</v>
      </c>
      <c r="D12" s="48" t="s">
        <v>84</v>
      </c>
      <c r="E12" s="42">
        <v>60</v>
      </c>
      <c r="F12" s="45">
        <v>17.28</v>
      </c>
      <c r="G12" s="45">
        <v>24</v>
      </c>
      <c r="H12" s="45">
        <v>1.86</v>
      </c>
      <c r="I12" s="45">
        <v>0.12</v>
      </c>
      <c r="J12" s="54">
        <v>3.9</v>
      </c>
    </row>
    <row r="13" spans="1:10" x14ac:dyDescent="0.3">
      <c r="A13" s="40" t="s">
        <v>48</v>
      </c>
      <c r="B13" s="37" t="s">
        <v>15</v>
      </c>
      <c r="C13" s="52">
        <v>22</v>
      </c>
      <c r="D13" s="49" t="s">
        <v>85</v>
      </c>
      <c r="E13" s="43">
        <v>255</v>
      </c>
      <c r="F13" s="46">
        <v>8.82</v>
      </c>
      <c r="G13" s="46">
        <v>108.5</v>
      </c>
      <c r="H13" s="46">
        <v>1.75</v>
      </c>
      <c r="I13" s="46">
        <v>6.05</v>
      </c>
      <c r="J13" s="55">
        <v>11.86</v>
      </c>
    </row>
    <row r="14" spans="1:10" x14ac:dyDescent="0.3">
      <c r="A14" s="40"/>
      <c r="B14" s="37" t="s">
        <v>16</v>
      </c>
      <c r="C14" s="52">
        <v>51</v>
      </c>
      <c r="D14" s="49" t="s">
        <v>86</v>
      </c>
      <c r="E14" s="43">
        <v>90</v>
      </c>
      <c r="F14" s="46">
        <v>26.56</v>
      </c>
      <c r="G14" s="46">
        <v>94.5</v>
      </c>
      <c r="H14" s="46">
        <v>8.66</v>
      </c>
      <c r="I14" s="46">
        <v>4.47</v>
      </c>
      <c r="J14" s="55">
        <v>4.6399999999999997</v>
      </c>
    </row>
    <row r="15" spans="1:10" x14ac:dyDescent="0.3">
      <c r="A15" s="40"/>
      <c r="B15" s="37" t="s">
        <v>17</v>
      </c>
      <c r="C15" s="52">
        <v>7</v>
      </c>
      <c r="D15" s="49" t="s">
        <v>38</v>
      </c>
      <c r="E15" s="43">
        <v>160</v>
      </c>
      <c r="F15" s="46">
        <v>13.56</v>
      </c>
      <c r="G15" s="46">
        <v>141.44</v>
      </c>
      <c r="H15" s="46">
        <f>3.74*160/180</f>
        <v>3.324444444444445</v>
      </c>
      <c r="I15" s="46">
        <f>6.12*160/180</f>
        <v>5.44</v>
      </c>
      <c r="J15" s="55">
        <f>22.28*160/180</f>
        <v>19.804444444444446</v>
      </c>
    </row>
    <row r="16" spans="1:10" x14ac:dyDescent="0.3">
      <c r="A16" s="40"/>
      <c r="B16" s="37" t="s">
        <v>30</v>
      </c>
      <c r="C16" s="52">
        <v>17</v>
      </c>
      <c r="D16" s="49" t="s">
        <v>66</v>
      </c>
      <c r="E16" s="43">
        <v>200</v>
      </c>
      <c r="F16" s="46">
        <v>3.49</v>
      </c>
      <c r="G16" s="46">
        <v>141.4</v>
      </c>
      <c r="H16" s="46">
        <v>0.08</v>
      </c>
      <c r="I16" s="46">
        <v>0</v>
      </c>
      <c r="J16" s="55">
        <v>35</v>
      </c>
    </row>
    <row r="17" spans="1:10" x14ac:dyDescent="0.3">
      <c r="A17" s="40"/>
      <c r="B17" s="37" t="s">
        <v>21</v>
      </c>
      <c r="C17" s="52" t="s">
        <v>24</v>
      </c>
      <c r="D17" s="49" t="s">
        <v>31</v>
      </c>
      <c r="E17" s="43">
        <v>34</v>
      </c>
      <c r="F17" s="46">
        <v>1.81</v>
      </c>
      <c r="G17" s="46">
        <f>62.4*34/30</f>
        <v>70.72</v>
      </c>
      <c r="H17" s="46">
        <f>2.4*34/30</f>
        <v>2.7199999999999998</v>
      </c>
      <c r="I17" s="46">
        <f>0.45*34/30</f>
        <v>0.51</v>
      </c>
      <c r="J17" s="55">
        <f>11.37*34/30</f>
        <v>12.885999999999999</v>
      </c>
    </row>
    <row r="18" spans="1:10" ht="15" thickBot="1" x14ac:dyDescent="0.35">
      <c r="A18" s="41"/>
      <c r="B18" s="27" t="s">
        <v>18</v>
      </c>
      <c r="C18" s="53" t="s">
        <v>24</v>
      </c>
      <c r="D18" s="50" t="s">
        <v>25</v>
      </c>
      <c r="E18" s="44">
        <v>34</v>
      </c>
      <c r="F18" s="47">
        <v>1.37</v>
      </c>
      <c r="G18" s="47">
        <f>60*34/30</f>
        <v>68</v>
      </c>
      <c r="H18" s="47">
        <f>1.47*34/30</f>
        <v>1.6659999999999999</v>
      </c>
      <c r="I18" s="47">
        <f>0.3*34/30</f>
        <v>0.33999999999999997</v>
      </c>
      <c r="J18" s="56">
        <f>13.44*34/30</f>
        <v>15.231999999999999</v>
      </c>
    </row>
    <row r="19" spans="1:10" x14ac:dyDescent="0.3">
      <c r="A19" s="38" t="s">
        <v>10</v>
      </c>
      <c r="B19" s="39" t="s">
        <v>11</v>
      </c>
      <c r="C19" s="51">
        <v>34</v>
      </c>
      <c r="D19" s="48" t="s">
        <v>81</v>
      </c>
      <c r="E19" s="42">
        <v>200</v>
      </c>
      <c r="F19" s="45">
        <v>33.049999999999997</v>
      </c>
      <c r="G19" s="45">
        <v>436</v>
      </c>
      <c r="H19" s="45">
        <v>15.89</v>
      </c>
      <c r="I19" s="45">
        <v>20.27</v>
      </c>
      <c r="J19" s="54">
        <v>25.71</v>
      </c>
    </row>
    <row r="20" spans="1:10" x14ac:dyDescent="0.3">
      <c r="A20" s="40" t="s">
        <v>49</v>
      </c>
      <c r="B20" s="37" t="s">
        <v>12</v>
      </c>
      <c r="C20" s="52">
        <v>20</v>
      </c>
      <c r="D20" s="49" t="s">
        <v>71</v>
      </c>
      <c r="E20" s="43">
        <v>200</v>
      </c>
      <c r="F20" s="46">
        <v>4.57</v>
      </c>
      <c r="G20" s="46">
        <v>91</v>
      </c>
      <c r="H20" s="46">
        <v>1.4</v>
      </c>
      <c r="I20" s="46">
        <v>1.6</v>
      </c>
      <c r="J20" s="55">
        <v>17.7</v>
      </c>
    </row>
    <row r="21" spans="1:10" x14ac:dyDescent="0.3">
      <c r="A21" s="40"/>
      <c r="B21" s="37" t="s">
        <v>20</v>
      </c>
      <c r="C21" s="52" t="s">
        <v>24</v>
      </c>
      <c r="D21" s="49" t="s">
        <v>25</v>
      </c>
      <c r="E21" s="43">
        <v>30</v>
      </c>
      <c r="F21" s="46">
        <v>1.24</v>
      </c>
      <c r="G21" s="46">
        <v>60</v>
      </c>
      <c r="H21" s="46">
        <f>0.98*30/20</f>
        <v>1.47</v>
      </c>
      <c r="I21" s="46">
        <f>0.2*30/20</f>
        <v>0.3</v>
      </c>
      <c r="J21" s="55">
        <f>8.95*30/20</f>
        <v>13.425000000000001</v>
      </c>
    </row>
    <row r="22" spans="1:10" x14ac:dyDescent="0.3">
      <c r="A22" s="40"/>
      <c r="B22" s="29"/>
      <c r="C22" s="52" t="s">
        <v>24</v>
      </c>
      <c r="D22" s="49" t="s">
        <v>31</v>
      </c>
      <c r="E22" s="43">
        <v>30</v>
      </c>
      <c r="F22" s="46">
        <v>1.6</v>
      </c>
      <c r="G22" s="46">
        <v>62.4</v>
      </c>
      <c r="H22" s="46">
        <f>1.68*30/20</f>
        <v>2.52</v>
      </c>
      <c r="I22" s="46">
        <f>0.03*30/20</f>
        <v>4.4999999999999998E-2</v>
      </c>
      <c r="J22" s="55">
        <f>8.02*30/20</f>
        <v>12.03</v>
      </c>
    </row>
    <row r="23" spans="1:10" x14ac:dyDescent="0.3">
      <c r="A23" s="40"/>
      <c r="B23" s="30" t="s">
        <v>26</v>
      </c>
      <c r="C23" s="34">
        <v>4</v>
      </c>
      <c r="D23" s="33" t="s">
        <v>44</v>
      </c>
      <c r="E23" s="31">
        <v>35</v>
      </c>
      <c r="F23" s="32">
        <v>11.95</v>
      </c>
      <c r="G23" s="32">
        <v>8.25</v>
      </c>
      <c r="H23" s="32">
        <f>0.66*35/60</f>
        <v>0.38500000000000001</v>
      </c>
      <c r="I23" s="32">
        <f>0.12*35/60</f>
        <v>7.0000000000000007E-2</v>
      </c>
      <c r="J23" s="35">
        <f>2.28*35/60</f>
        <v>1.3299999999999998</v>
      </c>
    </row>
    <row r="24" spans="1:10" ht="15" thickBot="1" x14ac:dyDescent="0.35">
      <c r="A24" s="40"/>
      <c r="B24" s="30"/>
      <c r="C24" s="52" t="s">
        <v>24</v>
      </c>
      <c r="D24" s="33" t="s">
        <v>82</v>
      </c>
      <c r="E24" s="31">
        <v>20</v>
      </c>
      <c r="F24" s="32">
        <v>4.09</v>
      </c>
      <c r="G24" s="32">
        <v>63.56</v>
      </c>
      <c r="H24" s="32">
        <f>2.14*20/40</f>
        <v>1.07</v>
      </c>
      <c r="I24" s="32">
        <f>2.8*30/60</f>
        <v>1.4</v>
      </c>
      <c r="J24" s="35">
        <f>23.34*30/60</f>
        <v>11.67</v>
      </c>
    </row>
    <row r="25" spans="1:10" x14ac:dyDescent="0.3">
      <c r="A25" s="38" t="s">
        <v>50</v>
      </c>
      <c r="B25" s="57"/>
      <c r="C25" s="51">
        <v>63</v>
      </c>
      <c r="D25" s="48" t="s">
        <v>83</v>
      </c>
      <c r="E25" s="42">
        <v>200</v>
      </c>
      <c r="F25" s="45">
        <v>22.45</v>
      </c>
      <c r="G25" s="45">
        <v>106</v>
      </c>
      <c r="H25" s="45">
        <v>5.8</v>
      </c>
      <c r="I25" s="45">
        <v>5</v>
      </c>
      <c r="J25" s="54">
        <v>8</v>
      </c>
    </row>
    <row r="26" spans="1:10" ht="15" thickBot="1" x14ac:dyDescent="0.35">
      <c r="A26" s="40" t="s">
        <v>49</v>
      </c>
      <c r="B26" s="36"/>
      <c r="C26" s="53">
        <v>62</v>
      </c>
      <c r="D26" s="50" t="s">
        <v>60</v>
      </c>
      <c r="E26" s="44">
        <v>110</v>
      </c>
      <c r="F26" s="47">
        <v>19.91</v>
      </c>
      <c r="G26" s="47">
        <v>299.02</v>
      </c>
      <c r="H26" s="47">
        <f>10.49*1.1</f>
        <v>11.539000000000001</v>
      </c>
      <c r="I26" s="47">
        <f>11.32*1.1</f>
        <v>12.452000000000002</v>
      </c>
      <c r="J26" s="56">
        <f>32*1.1</f>
        <v>35.200000000000003</v>
      </c>
    </row>
    <row r="27" spans="1:10" x14ac:dyDescent="0.3">
      <c r="A27" s="38" t="s">
        <v>13</v>
      </c>
      <c r="B27" s="39" t="s">
        <v>14</v>
      </c>
      <c r="C27" s="51">
        <v>1</v>
      </c>
      <c r="D27" s="48" t="s">
        <v>84</v>
      </c>
      <c r="E27" s="42">
        <v>80</v>
      </c>
      <c r="F27" s="45">
        <v>23.09</v>
      </c>
      <c r="G27" s="45">
        <v>32</v>
      </c>
      <c r="H27" s="45">
        <f>1.86*80/60</f>
        <v>2.48</v>
      </c>
      <c r="I27" s="45">
        <f>0.12*80/60</f>
        <v>0.16</v>
      </c>
      <c r="J27" s="54">
        <f>3.9*80/60</f>
        <v>5.2</v>
      </c>
    </row>
    <row r="28" spans="1:10" x14ac:dyDescent="0.3">
      <c r="A28" s="40" t="s">
        <v>49</v>
      </c>
      <c r="B28" s="37" t="s">
        <v>15</v>
      </c>
      <c r="C28" s="52">
        <v>22</v>
      </c>
      <c r="D28" s="49" t="s">
        <v>85</v>
      </c>
      <c r="E28" s="43">
        <v>255</v>
      </c>
      <c r="F28" s="46">
        <v>8.82</v>
      </c>
      <c r="G28" s="46">
        <v>108.5</v>
      </c>
      <c r="H28" s="46">
        <v>1.75</v>
      </c>
      <c r="I28" s="46">
        <v>6.05</v>
      </c>
      <c r="J28" s="55">
        <v>11.86</v>
      </c>
    </row>
    <row r="29" spans="1:10" x14ac:dyDescent="0.3">
      <c r="A29" s="40"/>
      <c r="B29" s="37" t="s">
        <v>16</v>
      </c>
      <c r="C29" s="52">
        <v>51</v>
      </c>
      <c r="D29" s="49" t="s">
        <v>86</v>
      </c>
      <c r="E29" s="43">
        <v>100</v>
      </c>
      <c r="F29" s="46">
        <v>29.63</v>
      </c>
      <c r="G29" s="46">
        <v>105</v>
      </c>
      <c r="H29" s="46">
        <f>8.66*100/90</f>
        <v>9.6222222222222218</v>
      </c>
      <c r="I29" s="46">
        <f>4.47*100/90</f>
        <v>4.9666666666666668</v>
      </c>
      <c r="J29" s="55">
        <f>4.64*100/90</f>
        <v>5.155555555555555</v>
      </c>
    </row>
    <row r="30" spans="1:10" x14ac:dyDescent="0.3">
      <c r="A30" s="40"/>
      <c r="B30" s="37" t="s">
        <v>17</v>
      </c>
      <c r="C30" s="52">
        <v>7</v>
      </c>
      <c r="D30" s="49" t="s">
        <v>38</v>
      </c>
      <c r="E30" s="43">
        <v>180</v>
      </c>
      <c r="F30" s="46">
        <v>15.26</v>
      </c>
      <c r="G30" s="46">
        <v>159.12</v>
      </c>
      <c r="H30" s="46">
        <v>3.74</v>
      </c>
      <c r="I30" s="46">
        <v>6.12</v>
      </c>
      <c r="J30" s="55">
        <v>22.28</v>
      </c>
    </row>
    <row r="31" spans="1:10" x14ac:dyDescent="0.3">
      <c r="A31" s="40"/>
      <c r="B31" s="37" t="s">
        <v>30</v>
      </c>
      <c r="C31" s="52">
        <v>17</v>
      </c>
      <c r="D31" s="49" t="s">
        <v>66</v>
      </c>
      <c r="E31" s="43">
        <v>200</v>
      </c>
      <c r="F31" s="46">
        <v>3.49</v>
      </c>
      <c r="G31" s="46">
        <v>141.4</v>
      </c>
      <c r="H31" s="46">
        <v>0.08</v>
      </c>
      <c r="I31" s="46">
        <v>0</v>
      </c>
      <c r="J31" s="55">
        <v>35</v>
      </c>
    </row>
    <row r="32" spans="1:10" x14ac:dyDescent="0.3">
      <c r="A32" s="40"/>
      <c r="B32" s="37" t="s">
        <v>21</v>
      </c>
      <c r="C32" s="52" t="s">
        <v>24</v>
      </c>
      <c r="D32" s="49" t="s">
        <v>31</v>
      </c>
      <c r="E32" s="43">
        <v>47</v>
      </c>
      <c r="F32" s="46">
        <v>2.5099999999999998</v>
      </c>
      <c r="G32" s="46">
        <f>62.4*47/30</f>
        <v>97.759999999999991</v>
      </c>
      <c r="H32" s="46">
        <f>2.4*47/30</f>
        <v>3.76</v>
      </c>
      <c r="I32" s="46">
        <f>0.45*47/30</f>
        <v>0.70500000000000007</v>
      </c>
      <c r="J32" s="55">
        <f>11.37*47/30</f>
        <v>17.812999999999999</v>
      </c>
    </row>
    <row r="33" spans="1:10" ht="15" thickBot="1" x14ac:dyDescent="0.35">
      <c r="A33" s="41"/>
      <c r="B33" s="27" t="s">
        <v>18</v>
      </c>
      <c r="C33" s="53" t="s">
        <v>24</v>
      </c>
      <c r="D33" s="50" t="s">
        <v>25</v>
      </c>
      <c r="E33" s="44">
        <v>47</v>
      </c>
      <c r="F33" s="47">
        <v>1.93</v>
      </c>
      <c r="G33" s="47">
        <f>60*47/30</f>
        <v>94</v>
      </c>
      <c r="H33" s="47">
        <f>1.47*47/30</f>
        <v>2.3029999999999999</v>
      </c>
      <c r="I33" s="47">
        <f>0.3*47/30</f>
        <v>0.47</v>
      </c>
      <c r="J33" s="56">
        <f>13.44*47/30</f>
        <v>21.055999999999997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/>
  </sheetViews>
  <sheetFormatPr defaultRowHeight="14.4" x14ac:dyDescent="0.3"/>
  <cols>
    <col min="1" max="1" width="12.109375" style="28" customWidth="1"/>
    <col min="2" max="2" width="11.5546875" style="28" customWidth="1"/>
    <col min="3" max="3" width="8" style="28" customWidth="1"/>
    <col min="4" max="4" width="41.5546875" style="28" customWidth="1"/>
    <col min="5" max="5" width="10.109375" style="28" customWidth="1"/>
    <col min="6" max="6" width="8.88671875" style="28"/>
    <col min="7" max="7" width="13.44140625" style="28" customWidth="1"/>
    <col min="8" max="8" width="7.6640625" style="28" customWidth="1"/>
    <col min="9" max="9" width="7.88671875" style="28" customWidth="1"/>
    <col min="10" max="10" width="10.44140625" style="28" customWidth="1"/>
    <col min="11" max="16384" width="8.88671875" style="28"/>
  </cols>
  <sheetData>
    <row r="1" spans="1:10" x14ac:dyDescent="0.3">
      <c r="A1" s="28" t="s">
        <v>0</v>
      </c>
      <c r="B1" s="69" t="s">
        <v>69</v>
      </c>
      <c r="C1" s="70"/>
      <c r="D1" s="71"/>
      <c r="E1" s="28" t="s">
        <v>19</v>
      </c>
      <c r="F1" s="12"/>
      <c r="I1" s="28" t="s">
        <v>1</v>
      </c>
      <c r="J1" s="11">
        <v>44343</v>
      </c>
    </row>
    <row r="2" spans="1:10" ht="15" thickBot="1" x14ac:dyDescent="0.35"/>
    <row r="3" spans="1:10" ht="15" thickBot="1" x14ac:dyDescent="0.35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38" t="s">
        <v>10</v>
      </c>
      <c r="B4" s="39" t="s">
        <v>11</v>
      </c>
      <c r="C4" s="51">
        <v>18</v>
      </c>
      <c r="D4" s="48" t="s">
        <v>55</v>
      </c>
      <c r="E4" s="42">
        <v>200</v>
      </c>
      <c r="F4" s="45">
        <v>24.49</v>
      </c>
      <c r="G4" s="45">
        <v>314.33</v>
      </c>
      <c r="H4" s="45">
        <f>13.06*165/200</f>
        <v>10.7745</v>
      </c>
      <c r="I4" s="45">
        <f>18.57*165/200</f>
        <v>15.320250000000001</v>
      </c>
      <c r="J4" s="54">
        <f>36.51*165/200</f>
        <v>30.120749999999997</v>
      </c>
    </row>
    <row r="5" spans="1:10" x14ac:dyDescent="0.3">
      <c r="A5" s="40" t="s">
        <v>48</v>
      </c>
      <c r="B5" s="37" t="s">
        <v>12</v>
      </c>
      <c r="C5" s="52">
        <v>30</v>
      </c>
      <c r="D5" s="49" t="s">
        <v>56</v>
      </c>
      <c r="E5" s="43">
        <v>200</v>
      </c>
      <c r="F5" s="46">
        <v>2.91</v>
      </c>
      <c r="G5" s="46">
        <v>65</v>
      </c>
      <c r="H5" s="46">
        <v>0.2</v>
      </c>
      <c r="I5" s="46">
        <v>0</v>
      </c>
      <c r="J5" s="55">
        <v>16</v>
      </c>
    </row>
    <row r="6" spans="1:10" x14ac:dyDescent="0.3">
      <c r="A6" s="40"/>
      <c r="B6" s="37" t="s">
        <v>20</v>
      </c>
      <c r="C6" s="52" t="s">
        <v>24</v>
      </c>
      <c r="D6" s="49" t="s">
        <v>25</v>
      </c>
      <c r="E6" s="43">
        <v>23</v>
      </c>
      <c r="F6" s="46">
        <v>0.95</v>
      </c>
      <c r="G6" s="46">
        <v>46</v>
      </c>
      <c r="H6" s="46">
        <f>0.98*23/20</f>
        <v>1.127</v>
      </c>
      <c r="I6" s="46">
        <f>0.2*23/20</f>
        <v>0.23000000000000004</v>
      </c>
      <c r="J6" s="55">
        <f>8.95*23/20</f>
        <v>10.2925</v>
      </c>
    </row>
    <row r="7" spans="1:10" x14ac:dyDescent="0.3">
      <c r="A7" s="40"/>
      <c r="B7" s="29"/>
      <c r="C7" s="52" t="s">
        <v>24</v>
      </c>
      <c r="D7" s="49" t="s">
        <v>57</v>
      </c>
      <c r="E7" s="43">
        <v>24</v>
      </c>
      <c r="F7" s="46">
        <v>1.82</v>
      </c>
      <c r="G7" s="46">
        <v>49.92</v>
      </c>
      <c r="H7" s="46">
        <f>1.6*24/20</f>
        <v>1.9200000000000004</v>
      </c>
      <c r="I7" s="46">
        <f>0.03*24/20</f>
        <v>3.5999999999999997E-2</v>
      </c>
      <c r="J7" s="55">
        <f>8.02*24/20</f>
        <v>9.6239999999999988</v>
      </c>
    </row>
    <row r="8" spans="1:10" x14ac:dyDescent="0.3">
      <c r="A8" s="40"/>
      <c r="B8" s="30" t="s">
        <v>26</v>
      </c>
      <c r="C8" s="34">
        <v>3</v>
      </c>
      <c r="D8" s="33" t="s">
        <v>27</v>
      </c>
      <c r="E8" s="31">
        <v>10</v>
      </c>
      <c r="F8" s="32">
        <v>7.04</v>
      </c>
      <c r="G8" s="32">
        <v>64.72</v>
      </c>
      <c r="H8" s="32">
        <v>0.08</v>
      </c>
      <c r="I8" s="32">
        <v>7.15</v>
      </c>
      <c r="J8" s="35">
        <v>0.12</v>
      </c>
    </row>
    <row r="9" spans="1:10" x14ac:dyDescent="0.3">
      <c r="A9" s="58"/>
      <c r="B9" s="29"/>
      <c r="C9" s="52">
        <v>6</v>
      </c>
      <c r="D9" s="49" t="s">
        <v>28</v>
      </c>
      <c r="E9" s="43">
        <v>12</v>
      </c>
      <c r="F9" s="46">
        <v>7.3</v>
      </c>
      <c r="G9" s="46">
        <v>36</v>
      </c>
      <c r="H9" s="46">
        <f>1.36*12/12</f>
        <v>1.36</v>
      </c>
      <c r="I9" s="46">
        <f>2.76*12/12</f>
        <v>2.76</v>
      </c>
      <c r="J9" s="46">
        <f>0.31*12/12</f>
        <v>0.31</v>
      </c>
    </row>
    <row r="10" spans="1:10" ht="15" thickBot="1" x14ac:dyDescent="0.35">
      <c r="A10" s="40"/>
      <c r="B10" s="29"/>
      <c r="C10" s="52" t="s">
        <v>24</v>
      </c>
      <c r="D10" s="49" t="s">
        <v>58</v>
      </c>
      <c r="E10" s="43">
        <v>20</v>
      </c>
      <c r="F10" s="46">
        <v>4.09</v>
      </c>
      <c r="G10" s="46">
        <v>63.56</v>
      </c>
      <c r="H10" s="46">
        <f>2.14*20/40</f>
        <v>1.07</v>
      </c>
      <c r="I10" s="46">
        <f>2.8*20/40</f>
        <v>1.4</v>
      </c>
      <c r="J10" s="46">
        <f>23.34*20/40</f>
        <v>11.67</v>
      </c>
    </row>
    <row r="11" spans="1:10" x14ac:dyDescent="0.3">
      <c r="A11" s="38" t="s">
        <v>50</v>
      </c>
      <c r="B11" s="57"/>
      <c r="C11" s="51">
        <v>75</v>
      </c>
      <c r="D11" s="48" t="s">
        <v>59</v>
      </c>
      <c r="E11" s="42">
        <v>200</v>
      </c>
      <c r="F11" s="45">
        <v>7.81</v>
      </c>
      <c r="G11" s="45">
        <v>138</v>
      </c>
      <c r="H11" s="45">
        <v>2.74</v>
      </c>
      <c r="I11" s="45">
        <v>3.23</v>
      </c>
      <c r="J11" s="54">
        <v>24.11</v>
      </c>
    </row>
    <row r="12" spans="1:10" x14ac:dyDescent="0.3">
      <c r="A12" s="40" t="s">
        <v>48</v>
      </c>
      <c r="B12" s="29"/>
      <c r="C12" s="52">
        <v>62</v>
      </c>
      <c r="D12" s="49" t="s">
        <v>60</v>
      </c>
      <c r="E12" s="43">
        <v>110</v>
      </c>
      <c r="F12" s="46">
        <v>19.809999999999999</v>
      </c>
      <c r="G12" s="46">
        <v>299.02</v>
      </c>
      <c r="H12" s="46">
        <f>10.49*1.1</f>
        <v>11.539000000000001</v>
      </c>
      <c r="I12" s="46">
        <f>11.32*1.1</f>
        <v>12.452000000000002</v>
      </c>
      <c r="J12" s="55">
        <f>32*1.1</f>
        <v>35.200000000000003</v>
      </c>
    </row>
    <row r="13" spans="1:10" ht="15" thickBot="1" x14ac:dyDescent="0.35">
      <c r="A13" s="41"/>
      <c r="B13" s="36"/>
      <c r="C13" s="53" t="s">
        <v>24</v>
      </c>
      <c r="D13" s="50" t="s">
        <v>61</v>
      </c>
      <c r="E13" s="44">
        <v>25</v>
      </c>
      <c r="F13" s="47">
        <v>8.82</v>
      </c>
      <c r="G13" s="47">
        <v>79.45</v>
      </c>
      <c r="H13" s="46">
        <f>2.14*25/40</f>
        <v>1.3374999999999999</v>
      </c>
      <c r="I13" s="46">
        <f>2.8*25/40</f>
        <v>1.75</v>
      </c>
      <c r="J13" s="46">
        <f>23.34*25/40</f>
        <v>14.5875</v>
      </c>
    </row>
    <row r="14" spans="1:10" x14ac:dyDescent="0.3">
      <c r="A14" s="40" t="s">
        <v>13</v>
      </c>
      <c r="B14" s="59" t="s">
        <v>14</v>
      </c>
      <c r="C14" s="60">
        <v>59</v>
      </c>
      <c r="D14" s="61" t="s">
        <v>29</v>
      </c>
      <c r="E14" s="62">
        <v>40</v>
      </c>
      <c r="F14" s="63">
        <v>3.48</v>
      </c>
      <c r="G14" s="63">
        <v>50</v>
      </c>
      <c r="H14" s="63">
        <f>1.26*40/60</f>
        <v>0.84</v>
      </c>
      <c r="I14" s="63">
        <f>4.08*40/60</f>
        <v>2.7199999999999998</v>
      </c>
      <c r="J14" s="64">
        <f>8.28*40/60</f>
        <v>5.52</v>
      </c>
    </row>
    <row r="15" spans="1:10" x14ac:dyDescent="0.3">
      <c r="A15" s="40" t="s">
        <v>48</v>
      </c>
      <c r="B15" s="37" t="s">
        <v>15</v>
      </c>
      <c r="C15" s="52">
        <v>60</v>
      </c>
      <c r="D15" s="49" t="s">
        <v>62</v>
      </c>
      <c r="E15" s="43">
        <v>200</v>
      </c>
      <c r="F15" s="46">
        <v>16.36</v>
      </c>
      <c r="G15" s="46">
        <v>110.4</v>
      </c>
      <c r="H15" s="46">
        <v>6.78</v>
      </c>
      <c r="I15" s="46">
        <v>3.06</v>
      </c>
      <c r="J15" s="55">
        <v>11.06</v>
      </c>
    </row>
    <row r="16" spans="1:10" x14ac:dyDescent="0.3">
      <c r="A16" s="40"/>
      <c r="B16" s="37" t="s">
        <v>16</v>
      </c>
      <c r="C16" s="52">
        <v>14</v>
      </c>
      <c r="D16" s="49" t="s">
        <v>63</v>
      </c>
      <c r="E16" s="43">
        <v>90</v>
      </c>
      <c r="F16" s="46">
        <v>29.63</v>
      </c>
      <c r="G16" s="46">
        <v>214.2</v>
      </c>
      <c r="H16" s="46">
        <f>13.62*90/90</f>
        <v>13.62</v>
      </c>
      <c r="I16" s="46">
        <f>12.68*90/90</f>
        <v>12.68</v>
      </c>
      <c r="J16" s="55">
        <f>7.61*90/90</f>
        <v>7.6099999999999994</v>
      </c>
    </row>
    <row r="17" spans="1:10" x14ac:dyDescent="0.3">
      <c r="A17" s="40"/>
      <c r="B17" s="37"/>
      <c r="C17" s="52">
        <v>42</v>
      </c>
      <c r="D17" s="49" t="s">
        <v>64</v>
      </c>
      <c r="E17" s="43">
        <v>20</v>
      </c>
      <c r="F17" s="46">
        <v>3.09</v>
      </c>
      <c r="G17" s="46">
        <v>23.06</v>
      </c>
      <c r="H17" s="46">
        <v>0.31</v>
      </c>
      <c r="I17" s="46">
        <v>2.13</v>
      </c>
      <c r="J17" s="55">
        <v>0.68</v>
      </c>
    </row>
    <row r="18" spans="1:10" x14ac:dyDescent="0.3">
      <c r="A18" s="40"/>
      <c r="B18" s="37" t="s">
        <v>17</v>
      </c>
      <c r="C18" s="52">
        <v>24</v>
      </c>
      <c r="D18" s="49" t="s">
        <v>65</v>
      </c>
      <c r="E18" s="43">
        <v>150</v>
      </c>
      <c r="F18" s="46">
        <v>13.95</v>
      </c>
      <c r="G18" s="46">
        <f>361.13*150/180</f>
        <v>300.94166666666666</v>
      </c>
      <c r="H18" s="46">
        <f>62.8*150/150</f>
        <v>62.8</v>
      </c>
      <c r="I18" s="46">
        <f>9.94*150/150</f>
        <v>9.94</v>
      </c>
      <c r="J18" s="55">
        <f>46.69*150/150</f>
        <v>46.69</v>
      </c>
    </row>
    <row r="19" spans="1:10" x14ac:dyDescent="0.3">
      <c r="A19" s="40"/>
      <c r="B19" s="37" t="s">
        <v>30</v>
      </c>
      <c r="C19" s="52">
        <v>17</v>
      </c>
      <c r="D19" s="49" t="s">
        <v>66</v>
      </c>
      <c r="E19" s="43">
        <v>200</v>
      </c>
      <c r="F19" s="46">
        <v>3.49</v>
      </c>
      <c r="G19" s="46">
        <v>141.4</v>
      </c>
      <c r="H19" s="46">
        <v>0.08</v>
      </c>
      <c r="I19" s="46">
        <v>0</v>
      </c>
      <c r="J19" s="55">
        <v>35</v>
      </c>
    </row>
    <row r="20" spans="1:10" x14ac:dyDescent="0.3">
      <c r="A20" s="40"/>
      <c r="B20" s="37" t="s">
        <v>21</v>
      </c>
      <c r="C20" s="52" t="s">
        <v>24</v>
      </c>
      <c r="D20" s="49" t="s">
        <v>31</v>
      </c>
      <c r="E20" s="43">
        <v>31</v>
      </c>
      <c r="F20" s="46">
        <v>1.25</v>
      </c>
      <c r="G20" s="46">
        <v>62</v>
      </c>
      <c r="H20" s="46">
        <f>2.4*31/30</f>
        <v>2.4799999999999995</v>
      </c>
      <c r="I20" s="46">
        <f>0.45*31/30</f>
        <v>0.46500000000000002</v>
      </c>
      <c r="J20" s="55">
        <f>11.37*31/30</f>
        <v>11.748999999999999</v>
      </c>
    </row>
    <row r="21" spans="1:10" ht="15" thickBot="1" x14ac:dyDescent="0.35">
      <c r="A21" s="40"/>
      <c r="B21" s="37" t="s">
        <v>18</v>
      </c>
      <c r="C21" s="52" t="s">
        <v>24</v>
      </c>
      <c r="D21" s="49" t="s">
        <v>25</v>
      </c>
      <c r="E21" s="43">
        <v>31</v>
      </c>
      <c r="F21" s="46">
        <v>1.65</v>
      </c>
      <c r="G21" s="46">
        <v>64.48</v>
      </c>
      <c r="H21" s="46">
        <f>1.47*31/30</f>
        <v>1.5189999999999999</v>
      </c>
      <c r="I21" s="46">
        <f>0.3*31/30</f>
        <v>0.30999999999999994</v>
      </c>
      <c r="J21" s="55">
        <f>13.44*31/30</f>
        <v>13.888</v>
      </c>
    </row>
    <row r="22" spans="1:10" x14ac:dyDescent="0.3">
      <c r="A22" s="38" t="s">
        <v>10</v>
      </c>
      <c r="B22" s="39" t="s">
        <v>11</v>
      </c>
      <c r="C22" s="51">
        <v>18</v>
      </c>
      <c r="D22" s="48" t="s">
        <v>55</v>
      </c>
      <c r="E22" s="42">
        <v>200</v>
      </c>
      <c r="F22" s="45">
        <v>29.69</v>
      </c>
      <c r="G22" s="45">
        <v>381</v>
      </c>
      <c r="H22" s="45">
        <v>13.06</v>
      </c>
      <c r="I22" s="45">
        <v>18.57</v>
      </c>
      <c r="J22" s="54">
        <v>36.51</v>
      </c>
    </row>
    <row r="23" spans="1:10" x14ac:dyDescent="0.3">
      <c r="A23" s="40" t="s">
        <v>67</v>
      </c>
      <c r="B23" s="37" t="s">
        <v>12</v>
      </c>
      <c r="C23" s="52">
        <v>30</v>
      </c>
      <c r="D23" s="49" t="s">
        <v>56</v>
      </c>
      <c r="E23" s="43">
        <v>200</v>
      </c>
      <c r="F23" s="46">
        <v>2.91</v>
      </c>
      <c r="G23" s="46">
        <v>65</v>
      </c>
      <c r="H23" s="46">
        <v>0.2</v>
      </c>
      <c r="I23" s="46">
        <v>0</v>
      </c>
      <c r="J23" s="55">
        <v>16</v>
      </c>
    </row>
    <row r="24" spans="1:10" x14ac:dyDescent="0.3">
      <c r="A24" s="40"/>
      <c r="B24" s="37" t="s">
        <v>20</v>
      </c>
      <c r="C24" s="52" t="s">
        <v>24</v>
      </c>
      <c r="D24" s="49" t="s">
        <v>25</v>
      </c>
      <c r="E24" s="43">
        <v>31</v>
      </c>
      <c r="F24" s="46">
        <v>1.26</v>
      </c>
      <c r="G24" s="46">
        <v>62</v>
      </c>
      <c r="H24" s="46">
        <f>0.98*31/20</f>
        <v>1.5189999999999999</v>
      </c>
      <c r="I24" s="46">
        <f>0.2*31/20</f>
        <v>0.31</v>
      </c>
      <c r="J24" s="55">
        <f>8.95*31/20</f>
        <v>13.872499999999999</v>
      </c>
    </row>
    <row r="25" spans="1:10" x14ac:dyDescent="0.3">
      <c r="A25" s="40"/>
      <c r="B25" s="29"/>
      <c r="C25" s="52" t="s">
        <v>24</v>
      </c>
      <c r="D25" s="49" t="s">
        <v>57</v>
      </c>
      <c r="E25" s="43">
        <v>32</v>
      </c>
      <c r="F25" s="46">
        <v>2.52</v>
      </c>
      <c r="G25" s="46">
        <v>66.56</v>
      </c>
      <c r="H25" s="46">
        <f>1.6*32/20</f>
        <v>2.56</v>
      </c>
      <c r="I25" s="46">
        <f>0.03*32/20</f>
        <v>4.8000000000000001E-2</v>
      </c>
      <c r="J25" s="55">
        <f>8.02*32/20</f>
        <v>12.831999999999999</v>
      </c>
    </row>
    <row r="26" spans="1:10" x14ac:dyDescent="0.3">
      <c r="A26" s="40"/>
      <c r="B26" s="30" t="s">
        <v>26</v>
      </c>
      <c r="C26" s="34">
        <v>3</v>
      </c>
      <c r="D26" s="33" t="s">
        <v>27</v>
      </c>
      <c r="E26" s="31">
        <v>10</v>
      </c>
      <c r="F26" s="32">
        <v>7.04</v>
      </c>
      <c r="G26" s="32">
        <v>64.72</v>
      </c>
      <c r="H26" s="32">
        <v>0.08</v>
      </c>
      <c r="I26" s="32">
        <v>7.15</v>
      </c>
      <c r="J26" s="35">
        <v>0.12</v>
      </c>
    </row>
    <row r="27" spans="1:10" x14ac:dyDescent="0.3">
      <c r="A27" s="58"/>
      <c r="B27" s="29"/>
      <c r="C27" s="52">
        <v>6</v>
      </c>
      <c r="D27" s="49" t="s">
        <v>28</v>
      </c>
      <c r="E27" s="43">
        <v>15</v>
      </c>
      <c r="F27" s="46">
        <v>8.99</v>
      </c>
      <c r="G27" s="46">
        <v>45</v>
      </c>
      <c r="H27" s="46">
        <f>1.36*15/12</f>
        <v>1.7000000000000002</v>
      </c>
      <c r="I27" s="46">
        <f>2.76*15/12</f>
        <v>3.4499999999999997</v>
      </c>
      <c r="J27" s="46">
        <f>0.31*15/12</f>
        <v>0.38750000000000001</v>
      </c>
    </row>
    <row r="28" spans="1:10" ht="15" thickBot="1" x14ac:dyDescent="0.35">
      <c r="A28" s="40"/>
      <c r="B28" s="29"/>
      <c r="C28" s="52" t="s">
        <v>24</v>
      </c>
      <c r="D28" s="49" t="s">
        <v>58</v>
      </c>
      <c r="E28" s="43">
        <v>20</v>
      </c>
      <c r="F28" s="46">
        <v>4.09</v>
      </c>
      <c r="G28" s="46">
        <v>63.56</v>
      </c>
      <c r="H28" s="46">
        <f>2.14*20/40</f>
        <v>1.07</v>
      </c>
      <c r="I28" s="46">
        <f>2.8*20/40</f>
        <v>1.4</v>
      </c>
      <c r="J28" s="46">
        <f>23.34*20/40</f>
        <v>11.67</v>
      </c>
    </row>
    <row r="29" spans="1:10" x14ac:dyDescent="0.3">
      <c r="A29" s="38" t="s">
        <v>50</v>
      </c>
      <c r="B29" s="57"/>
      <c r="C29" s="51">
        <v>75</v>
      </c>
      <c r="D29" s="48" t="s">
        <v>59</v>
      </c>
      <c r="E29" s="42">
        <v>200</v>
      </c>
      <c r="F29" s="45">
        <v>7.81</v>
      </c>
      <c r="G29" s="45">
        <v>138</v>
      </c>
      <c r="H29" s="45">
        <v>2.74</v>
      </c>
      <c r="I29" s="45">
        <v>3.23</v>
      </c>
      <c r="J29" s="54">
        <v>24.11</v>
      </c>
    </row>
    <row r="30" spans="1:10" x14ac:dyDescent="0.3">
      <c r="A30" s="40" t="s">
        <v>67</v>
      </c>
      <c r="B30" s="29"/>
      <c r="C30" s="52">
        <v>62</v>
      </c>
      <c r="D30" s="49" t="s">
        <v>60</v>
      </c>
      <c r="E30" s="43">
        <v>140</v>
      </c>
      <c r="F30" s="46">
        <v>25.73</v>
      </c>
      <c r="G30" s="46">
        <v>380.58</v>
      </c>
      <c r="H30" s="46">
        <f>10.49*1.4</f>
        <v>14.686</v>
      </c>
      <c r="I30" s="46">
        <f>11.32*1.4</f>
        <v>15.847999999999999</v>
      </c>
      <c r="J30" s="55">
        <f>32*1.4</f>
        <v>44.8</v>
      </c>
    </row>
    <row r="31" spans="1:10" ht="15" thickBot="1" x14ac:dyDescent="0.35">
      <c r="A31" s="40"/>
      <c r="B31" s="30"/>
      <c r="C31" s="34" t="s">
        <v>24</v>
      </c>
      <c r="D31" s="33" t="s">
        <v>61</v>
      </c>
      <c r="E31" s="31">
        <v>25</v>
      </c>
      <c r="F31" s="32">
        <v>8.82</v>
      </c>
      <c r="G31" s="32">
        <v>79.45</v>
      </c>
      <c r="H31" s="32">
        <f>2.14*25/40</f>
        <v>1.3374999999999999</v>
      </c>
      <c r="I31" s="32">
        <f>2.8*25/40</f>
        <v>1.75</v>
      </c>
      <c r="J31" s="32">
        <f>23.34*25/40</f>
        <v>14.5875</v>
      </c>
    </row>
    <row r="32" spans="1:10" x14ac:dyDescent="0.3">
      <c r="A32" s="38" t="s">
        <v>13</v>
      </c>
      <c r="B32" s="39" t="s">
        <v>14</v>
      </c>
      <c r="C32" s="51">
        <v>59</v>
      </c>
      <c r="D32" s="48" t="s">
        <v>29</v>
      </c>
      <c r="E32" s="42">
        <v>60</v>
      </c>
      <c r="F32" s="45">
        <v>5.89</v>
      </c>
      <c r="G32" s="45">
        <v>75</v>
      </c>
      <c r="H32" s="45">
        <v>1.26</v>
      </c>
      <c r="I32" s="45">
        <v>4.08</v>
      </c>
      <c r="J32" s="54">
        <v>8.2799999999999994</v>
      </c>
    </row>
    <row r="33" spans="1:10" x14ac:dyDescent="0.3">
      <c r="A33" s="40" t="s">
        <v>67</v>
      </c>
      <c r="B33" s="37" t="s">
        <v>15</v>
      </c>
      <c r="C33" s="52">
        <v>60</v>
      </c>
      <c r="D33" s="49" t="s">
        <v>62</v>
      </c>
      <c r="E33" s="43">
        <v>200</v>
      </c>
      <c r="F33" s="46">
        <v>16.36</v>
      </c>
      <c r="G33" s="46">
        <v>110.4</v>
      </c>
      <c r="H33" s="46">
        <v>6.78</v>
      </c>
      <c r="I33" s="46">
        <v>3.06</v>
      </c>
      <c r="J33" s="55">
        <v>11.06</v>
      </c>
    </row>
    <row r="34" spans="1:10" x14ac:dyDescent="0.3">
      <c r="A34" s="40"/>
      <c r="B34" s="37" t="s">
        <v>16</v>
      </c>
      <c r="C34" s="52">
        <v>14</v>
      </c>
      <c r="D34" s="49" t="s">
        <v>63</v>
      </c>
      <c r="E34" s="43">
        <v>100</v>
      </c>
      <c r="F34" s="46">
        <v>35.35</v>
      </c>
      <c r="G34" s="46">
        <v>238</v>
      </c>
      <c r="H34" s="46">
        <f>13.62*100/90</f>
        <v>15.133333333333333</v>
      </c>
      <c r="I34" s="46">
        <f>12.68*100/90</f>
        <v>14.088888888888889</v>
      </c>
      <c r="J34" s="55">
        <f>7.61*100/90</f>
        <v>8.4555555555555557</v>
      </c>
    </row>
    <row r="35" spans="1:10" x14ac:dyDescent="0.3">
      <c r="A35" s="40"/>
      <c r="B35" s="37"/>
      <c r="C35" s="52">
        <v>42</v>
      </c>
      <c r="D35" s="49" t="s">
        <v>64</v>
      </c>
      <c r="E35" s="43">
        <v>20</v>
      </c>
      <c r="F35" s="46">
        <v>3.09</v>
      </c>
      <c r="G35" s="46">
        <v>23.06</v>
      </c>
      <c r="H35" s="46">
        <v>0.31</v>
      </c>
      <c r="I35" s="46">
        <v>2.13</v>
      </c>
      <c r="J35" s="55">
        <v>0.68</v>
      </c>
    </row>
    <row r="36" spans="1:10" x14ac:dyDescent="0.3">
      <c r="A36" s="40"/>
      <c r="B36" s="37" t="s">
        <v>17</v>
      </c>
      <c r="C36" s="52">
        <v>24</v>
      </c>
      <c r="D36" s="49" t="s">
        <v>65</v>
      </c>
      <c r="E36" s="43">
        <v>180</v>
      </c>
      <c r="F36" s="46">
        <v>16.829999999999998</v>
      </c>
      <c r="G36" s="46">
        <v>361.13</v>
      </c>
      <c r="H36" s="46">
        <f>62.8*180/150</f>
        <v>75.36</v>
      </c>
      <c r="I36" s="46">
        <f>9.94*180/150</f>
        <v>11.927999999999999</v>
      </c>
      <c r="J36" s="55">
        <f>46.69*180/150</f>
        <v>56.027999999999992</v>
      </c>
    </row>
    <row r="37" spans="1:10" x14ac:dyDescent="0.3">
      <c r="A37" s="40"/>
      <c r="B37" s="37" t="s">
        <v>30</v>
      </c>
      <c r="C37" s="52">
        <v>17</v>
      </c>
      <c r="D37" s="49" t="s">
        <v>66</v>
      </c>
      <c r="E37" s="43">
        <v>200</v>
      </c>
      <c r="F37" s="46">
        <v>3.49</v>
      </c>
      <c r="G37" s="46">
        <v>141.4</v>
      </c>
      <c r="H37" s="46">
        <v>0.08</v>
      </c>
      <c r="I37" s="46">
        <v>0</v>
      </c>
      <c r="J37" s="55">
        <v>35</v>
      </c>
    </row>
    <row r="38" spans="1:10" x14ac:dyDescent="0.3">
      <c r="A38" s="40"/>
      <c r="B38" s="37" t="s">
        <v>21</v>
      </c>
      <c r="C38" s="52" t="s">
        <v>24</v>
      </c>
      <c r="D38" s="49" t="s">
        <v>31</v>
      </c>
      <c r="E38" s="43">
        <v>40</v>
      </c>
      <c r="F38" s="46">
        <v>2.1</v>
      </c>
      <c r="G38" s="46">
        <v>83.2</v>
      </c>
      <c r="H38" s="46">
        <f>2.4*40/30</f>
        <v>3.2</v>
      </c>
      <c r="I38" s="46">
        <f>0.45*40/30</f>
        <v>0.6</v>
      </c>
      <c r="J38" s="55">
        <f>11.37*40/30</f>
        <v>15.159999999999998</v>
      </c>
    </row>
    <row r="39" spans="1:10" ht="15" thickBot="1" x14ac:dyDescent="0.35">
      <c r="A39" s="41"/>
      <c r="B39" s="27" t="s">
        <v>18</v>
      </c>
      <c r="C39" s="53" t="s">
        <v>24</v>
      </c>
      <c r="D39" s="50" t="s">
        <v>25</v>
      </c>
      <c r="E39" s="44">
        <v>39</v>
      </c>
      <c r="F39" s="47">
        <v>1.61</v>
      </c>
      <c r="G39" s="47">
        <v>78</v>
      </c>
      <c r="H39" s="47">
        <f>1.47*39/30</f>
        <v>1.911</v>
      </c>
      <c r="I39" s="47">
        <f>0.3*39/30</f>
        <v>0.38999999999999996</v>
      </c>
      <c r="J39" s="56">
        <f>13.44*39/30</f>
        <v>17.471999999999998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19.05</vt:lpstr>
      <vt:lpstr>20.05</vt:lpstr>
      <vt:lpstr>21.05</vt:lpstr>
      <vt:lpstr>25.05</vt:lpstr>
      <vt:lpstr>26.05</vt:lpstr>
      <vt:lpstr>27.05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Алена</cp:lastModifiedBy>
  <cp:lastPrinted>2021-05-18T10:32:40Z</cp:lastPrinted>
  <dcterms:created xsi:type="dcterms:W3CDTF">2015-06-05T18:19:34Z</dcterms:created>
  <dcterms:modified xsi:type="dcterms:W3CDTF">2021-05-26T07:38:30Z</dcterms:modified>
</cp:coreProperties>
</file>